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5550" windowHeight="11565" firstSheet="30" activeTab="37"/>
  </bookViews>
  <sheets>
    <sheet name="01. Presidenca" sheetId="49" r:id="rId1"/>
    <sheet name="02. Kuvendi" sheetId="40" r:id="rId2"/>
    <sheet name="03 Kryeministria" sheetId="72" r:id="rId3"/>
    <sheet name="18. SHISH" sheetId="54" r:id="rId4"/>
    <sheet name="20. Drejtoria e pergj. arkivave" sheetId="43" r:id="rId5"/>
    <sheet name="22. Akademia e shkences" sheetId="44" r:id="rId6"/>
    <sheet name="24. KLSH" sheetId="55" r:id="rId7"/>
    <sheet name="29. ZABGJ" sheetId="32" r:id="rId8"/>
    <sheet name="30. Gjykata Kushtetuese" sheetId="34" r:id="rId9"/>
    <sheet name="50. Instat" sheetId="37" r:id="rId10"/>
    <sheet name="55. Magjistratura" sheetId="31" r:id="rId11"/>
    <sheet name="57. Qendra e Kinematografise" sheetId="56" r:id="rId12"/>
    <sheet name="63. Komisioneri Publik" sheetId="28" r:id="rId13"/>
    <sheet name="63. KLD" sheetId="46" r:id="rId14"/>
    <sheet name="63. KPK" sheetId="47" r:id="rId15"/>
    <sheet name="63. Komis. rivleresimit apelimi" sheetId="51" r:id="rId16"/>
    <sheet name="66. Avokati i Popullit" sheetId="57" r:id="rId17"/>
    <sheet name="67. KMSHC" sheetId="58" r:id="rId18"/>
    <sheet name="73. KQZ" sheetId="45" r:id="rId19"/>
    <sheet name="76. ILDKP" sheetId="48" r:id="rId20"/>
    <sheet name="77. Autoriteti i Konkurrences" sheetId="42" r:id="rId21"/>
    <sheet name="87. STKKU" sheetId="59" r:id="rId22"/>
    <sheet name="87. Kultet" sheetId="60" r:id="rId23"/>
    <sheet name="87. Inspektorati Qendror" sheetId="61" r:id="rId24"/>
    <sheet name="87. DSIK" sheetId="62" r:id="rId25"/>
    <sheet name="87. DAP" sheetId="63" r:id="rId26"/>
    <sheet name="87. APP" sheetId="64" r:id="rId27"/>
    <sheet name="87. Agjencia e Auditimit" sheetId="65" r:id="rId28"/>
    <sheet name="87. ADISA" sheetId="66" r:id="rId29"/>
    <sheet name="87. ASIG" sheetId="70" r:id="rId30"/>
    <sheet name="87. AZHT" sheetId="67" r:id="rId31"/>
    <sheet name="87. ACESK" sheetId="68" r:id="rId32"/>
    <sheet name="87. ASPA" sheetId="69" r:id="rId33"/>
    <sheet name="87. AZHER" sheetId="71" r:id="rId34"/>
    <sheet name="88. AMSHC" sheetId="53" r:id="rId35"/>
    <sheet name="89. Komis. drejten e informimit" sheetId="39" r:id="rId36"/>
    <sheet name="90. KPP" sheetId="29" r:id="rId37"/>
    <sheet name="91.Koms. mbrojtjen nga diskrimi" sheetId="35" r:id="rId38"/>
    <sheet name="92. ISKK" sheetId="36" r:id="rId39"/>
    <sheet name="95. AIDSSH" sheetId="38" r:id="rId40"/>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xlnm.Print_Area" localSheetId="8">'30. Gjykata Kushtetuese'!$B$1:$F$372</definedName>
    <definedName name="_xlnm.Print_Area" localSheetId="14">'63. KPK'!$B$2:$G$92</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9" i="32" l="1"/>
  <c r="F129" i="32"/>
  <c r="D129" i="32"/>
  <c r="F137" i="32"/>
  <c r="E137" i="32"/>
  <c r="D137" i="32"/>
  <c r="C129" i="32"/>
  <c r="C145" i="32"/>
  <c r="J263" i="72" l="1"/>
  <c r="I263" i="72"/>
  <c r="J264" i="72" s="1"/>
  <c r="H263" i="72"/>
  <c r="G263" i="72"/>
  <c r="H264" i="72" s="1"/>
  <c r="J261" i="72"/>
  <c r="J262" i="72" s="1"/>
  <c r="I261" i="72"/>
  <c r="H261" i="72"/>
  <c r="I262" i="72" s="1"/>
  <c r="G261" i="72"/>
  <c r="H259" i="72"/>
  <c r="G259" i="72"/>
  <c r="H260" i="72" s="1"/>
  <c r="J257" i="72"/>
  <c r="J258" i="72" s="1"/>
  <c r="I257" i="72"/>
  <c r="H257" i="72"/>
  <c r="I258" i="72" s="1"/>
  <c r="G257" i="72"/>
  <c r="J255" i="72"/>
  <c r="I255" i="72"/>
  <c r="J256" i="72" s="1"/>
  <c r="H255" i="72"/>
  <c r="G255" i="72"/>
  <c r="H256" i="72" s="1"/>
  <c r="J253" i="72"/>
  <c r="J254" i="72" s="1"/>
  <c r="I253" i="72"/>
  <c r="H253" i="72"/>
  <c r="I254" i="72" s="1"/>
  <c r="G253" i="72"/>
  <c r="J251" i="72"/>
  <c r="I251" i="72"/>
  <c r="J252" i="72" s="1"/>
  <c r="H251" i="72"/>
  <c r="G251" i="72"/>
  <c r="H252" i="72" s="1"/>
  <c r="J249" i="72"/>
  <c r="J250" i="72" s="1"/>
  <c r="I249" i="72"/>
  <c r="H249" i="72"/>
  <c r="I250" i="72" s="1"/>
  <c r="G249" i="72"/>
  <c r="J247" i="72"/>
  <c r="I247" i="72"/>
  <c r="J248" i="72" s="1"/>
  <c r="H247" i="72"/>
  <c r="G247" i="72"/>
  <c r="H248" i="72" s="1"/>
  <c r="J239" i="72"/>
  <c r="I239" i="72"/>
  <c r="H239" i="72"/>
  <c r="G239" i="72"/>
  <c r="J231" i="72"/>
  <c r="I231" i="72"/>
  <c r="H231" i="72"/>
  <c r="J230" i="72"/>
  <c r="I230" i="72"/>
  <c r="J233" i="72" s="1"/>
  <c r="G230" i="72"/>
  <c r="I229" i="72"/>
  <c r="H229" i="72"/>
  <c r="G229" i="72"/>
  <c r="J218" i="72"/>
  <c r="I218" i="72"/>
  <c r="H218" i="72"/>
  <c r="G218" i="72"/>
  <c r="G245" i="72" s="1"/>
  <c r="J210" i="72"/>
  <c r="I210" i="72"/>
  <c r="H210" i="72"/>
  <c r="J209" i="72"/>
  <c r="I209" i="72"/>
  <c r="J212" i="72" s="1"/>
  <c r="G209" i="72"/>
  <c r="I208" i="72"/>
  <c r="J211" i="72" s="1"/>
  <c r="H208" i="72"/>
  <c r="I211" i="72" s="1"/>
  <c r="G208" i="72"/>
  <c r="J195" i="72"/>
  <c r="J185" i="72" s="1"/>
  <c r="I195" i="72"/>
  <c r="H195" i="72"/>
  <c r="H185" i="72" s="1"/>
  <c r="G195" i="72"/>
  <c r="J187" i="72"/>
  <c r="I187" i="72"/>
  <c r="H187" i="72"/>
  <c r="I185" i="72"/>
  <c r="G185" i="72"/>
  <c r="G186" i="72" s="1"/>
  <c r="J174" i="72"/>
  <c r="I174" i="72"/>
  <c r="H174" i="72"/>
  <c r="G174" i="72"/>
  <c r="J167" i="72"/>
  <c r="I167" i="72"/>
  <c r="H167" i="72"/>
  <c r="J166" i="72"/>
  <c r="I166" i="72"/>
  <c r="H166" i="72"/>
  <c r="J165" i="72"/>
  <c r="J168" i="72" s="1"/>
  <c r="I165" i="72"/>
  <c r="H165" i="72"/>
  <c r="H168" i="72" s="1"/>
  <c r="G165" i="72"/>
  <c r="J155" i="72"/>
  <c r="I155" i="72"/>
  <c r="H155" i="72"/>
  <c r="J153" i="72"/>
  <c r="J156" i="72" s="1"/>
  <c r="I153" i="72"/>
  <c r="I156" i="72" s="1"/>
  <c r="H153" i="72"/>
  <c r="H156" i="72" s="1"/>
  <c r="G153" i="72"/>
  <c r="G154" i="72" s="1"/>
  <c r="J139" i="72"/>
  <c r="J143" i="72" s="1"/>
  <c r="I139" i="72"/>
  <c r="H139" i="72"/>
  <c r="G139" i="72"/>
  <c r="G110" i="72" s="1"/>
  <c r="G111" i="72" s="1"/>
  <c r="J112" i="72"/>
  <c r="I112" i="72"/>
  <c r="H112" i="72"/>
  <c r="J110" i="72"/>
  <c r="J111" i="72" s="1"/>
  <c r="H110" i="72"/>
  <c r="H113" i="72" s="1"/>
  <c r="H103" i="72"/>
  <c r="J99" i="72"/>
  <c r="J70" i="72" s="1"/>
  <c r="I99" i="72"/>
  <c r="I103" i="72" s="1"/>
  <c r="H99" i="72"/>
  <c r="H70" i="72" s="1"/>
  <c r="G99" i="72"/>
  <c r="J72" i="72"/>
  <c r="I72" i="72"/>
  <c r="H72" i="72"/>
  <c r="I70" i="72"/>
  <c r="I73" i="72" s="1"/>
  <c r="G70" i="72"/>
  <c r="G71" i="72" s="1"/>
  <c r="G63" i="72"/>
  <c r="H59" i="72"/>
  <c r="G59" i="72"/>
  <c r="G30" i="72" s="1"/>
  <c r="G31" i="72" s="1"/>
  <c r="I56" i="72"/>
  <c r="J32" i="72"/>
  <c r="I32" i="72"/>
  <c r="H32" i="72"/>
  <c r="H30" i="72"/>
  <c r="H33" i="72" s="1"/>
  <c r="H31" i="72" l="1"/>
  <c r="H34" i="72" s="1"/>
  <c r="I259" i="72"/>
  <c r="I260" i="72" s="1"/>
  <c r="J56" i="72"/>
  <c r="H63" i="72"/>
  <c r="G103" i="72"/>
  <c r="H111" i="72"/>
  <c r="H114" i="72" s="1"/>
  <c r="H143" i="72"/>
  <c r="H188" i="72"/>
  <c r="H186" i="72"/>
  <c r="H189" i="72" s="1"/>
  <c r="J188" i="72"/>
  <c r="J186" i="72"/>
  <c r="I245" i="72"/>
  <c r="G244" i="72"/>
  <c r="G268" i="72" s="1"/>
  <c r="I59" i="72"/>
  <c r="I71" i="72"/>
  <c r="H73" i="72"/>
  <c r="H71" i="72"/>
  <c r="H74" i="72" s="1"/>
  <c r="J73" i="72"/>
  <c r="J71" i="72"/>
  <c r="J74" i="72" s="1"/>
  <c r="J103" i="72"/>
  <c r="I188" i="72"/>
  <c r="H245" i="72"/>
  <c r="H244" i="72"/>
  <c r="G143" i="72"/>
  <c r="I154" i="72"/>
  <c r="I157" i="72" s="1"/>
  <c r="I168" i="72"/>
  <c r="I186" i="72"/>
  <c r="I189" i="72" s="1"/>
  <c r="I232" i="72"/>
  <c r="I110" i="72"/>
  <c r="H154" i="72"/>
  <c r="H157" i="72" s="1"/>
  <c r="J154" i="72"/>
  <c r="J157" i="72" s="1"/>
  <c r="H209" i="72"/>
  <c r="H212" i="72" s="1"/>
  <c r="H211" i="72"/>
  <c r="I212" i="72"/>
  <c r="H230" i="72"/>
  <c r="H233" i="72" s="1"/>
  <c r="H232" i="72"/>
  <c r="J232" i="72"/>
  <c r="I248" i="72"/>
  <c r="H250" i="72"/>
  <c r="I252" i="72"/>
  <c r="H254" i="72"/>
  <c r="I256" i="72"/>
  <c r="H258" i="72"/>
  <c r="H262" i="72"/>
  <c r="I264" i="72"/>
  <c r="I113" i="72" l="1"/>
  <c r="I111" i="72"/>
  <c r="J113" i="72"/>
  <c r="H268" i="72"/>
  <c r="H246" i="72"/>
  <c r="I143" i="72"/>
  <c r="I74" i="72"/>
  <c r="I246" i="72"/>
  <c r="J189" i="72"/>
  <c r="I233" i="72"/>
  <c r="I30" i="72"/>
  <c r="I63" i="72"/>
  <c r="J259" i="72"/>
  <c r="J260" i="72" s="1"/>
  <c r="J59" i="72"/>
  <c r="J63" i="72" l="1"/>
  <c r="J30" i="72"/>
  <c r="J245" i="72"/>
  <c r="I33" i="72"/>
  <c r="I31" i="72"/>
  <c r="I34" i="72" s="1"/>
  <c r="I244" i="72"/>
  <c r="I268" i="72" s="1"/>
  <c r="I114" i="72"/>
  <c r="J114" i="72"/>
  <c r="J246" i="72" l="1"/>
  <c r="J31" i="72"/>
  <c r="J34" i="72" s="1"/>
  <c r="J33" i="72"/>
  <c r="J244" i="72"/>
  <c r="J268" i="72" s="1"/>
  <c r="E90" i="36" l="1"/>
  <c r="D299" i="35"/>
  <c r="C300" i="35"/>
  <c r="C284" i="69" l="1"/>
  <c r="C285" i="69"/>
  <c r="C285" i="68"/>
  <c r="C286" i="68"/>
  <c r="D286" i="68"/>
  <c r="E111" i="67" l="1"/>
  <c r="F111" i="67"/>
  <c r="G111" i="67"/>
  <c r="E109" i="67"/>
  <c r="F109" i="67"/>
  <c r="G109" i="67"/>
  <c r="E107" i="67"/>
  <c r="F107" i="67"/>
  <c r="G107" i="67"/>
  <c r="E105" i="67"/>
  <c r="F105" i="67"/>
  <c r="G105" i="67"/>
  <c r="E103" i="67"/>
  <c r="F103" i="67"/>
  <c r="G103" i="67"/>
  <c r="E101" i="67"/>
  <c r="F101" i="67"/>
  <c r="G101" i="67"/>
  <c r="E99" i="67"/>
  <c r="F99" i="67"/>
  <c r="G99" i="67"/>
  <c r="E97" i="67"/>
  <c r="F97" i="67"/>
  <c r="G97" i="67"/>
  <c r="E95" i="67"/>
  <c r="F95" i="67"/>
  <c r="G95" i="67"/>
  <c r="D111" i="67"/>
  <c r="D109" i="67"/>
  <c r="D107" i="67"/>
  <c r="D105" i="67"/>
  <c r="D103" i="67"/>
  <c r="D101" i="67"/>
  <c r="D99" i="67"/>
  <c r="D97" i="67"/>
  <c r="D95" i="67"/>
  <c r="D93" i="67"/>
  <c r="G90" i="67"/>
  <c r="F90" i="67"/>
  <c r="E90" i="67"/>
  <c r="D90" i="67"/>
  <c r="G86" i="67"/>
  <c r="F86" i="67"/>
  <c r="E86" i="67"/>
  <c r="D86" i="67"/>
  <c r="G79" i="67"/>
  <c r="F79" i="67"/>
  <c r="E79" i="67"/>
  <c r="G78" i="67"/>
  <c r="F78" i="67"/>
  <c r="E78" i="67"/>
  <c r="G77" i="67"/>
  <c r="F77" i="67"/>
  <c r="E77" i="67"/>
  <c r="D77" i="67"/>
  <c r="G65" i="67"/>
  <c r="G66" i="67" s="1"/>
  <c r="F65" i="67"/>
  <c r="F66" i="67" s="1"/>
  <c r="E65" i="67"/>
  <c r="E66" i="67" s="1"/>
  <c r="D65" i="67"/>
  <c r="D66" i="67" s="1"/>
  <c r="G53" i="67"/>
  <c r="F53" i="67"/>
  <c r="E53" i="67"/>
  <c r="G52" i="67"/>
  <c r="F52" i="67"/>
  <c r="E52" i="67"/>
  <c r="G51" i="67"/>
  <c r="G54" i="67" s="1"/>
  <c r="F51" i="67"/>
  <c r="E51" i="67"/>
  <c r="E54" i="67" s="1"/>
  <c r="D51" i="67"/>
  <c r="G42" i="67"/>
  <c r="F42" i="67"/>
  <c r="E42" i="67"/>
  <c r="D42" i="67"/>
  <c r="G29" i="67"/>
  <c r="F29" i="67"/>
  <c r="E29" i="67"/>
  <c r="G27" i="67"/>
  <c r="G92" i="67" s="1"/>
  <c r="F27" i="67"/>
  <c r="F28" i="67" s="1"/>
  <c r="E27" i="67"/>
  <c r="E92" i="67" s="1"/>
  <c r="D27" i="67"/>
  <c r="D92" i="67" s="1"/>
  <c r="E43" i="67" l="1"/>
  <c r="G43" i="67"/>
  <c r="F92" i="67"/>
  <c r="F93" i="67"/>
  <c r="E96" i="67"/>
  <c r="G96" i="67"/>
  <c r="E100" i="67"/>
  <c r="G100" i="67"/>
  <c r="E104" i="67"/>
  <c r="G104" i="67"/>
  <c r="E108" i="67"/>
  <c r="G108" i="67"/>
  <c r="E112" i="67"/>
  <c r="G112" i="67"/>
  <c r="D113" i="67"/>
  <c r="D43" i="67"/>
  <c r="F43" i="67"/>
  <c r="E80" i="67"/>
  <c r="F80" i="67"/>
  <c r="E98" i="67"/>
  <c r="F98" i="67"/>
  <c r="E102" i="67"/>
  <c r="F102" i="67"/>
  <c r="E106" i="67"/>
  <c r="F106" i="67"/>
  <c r="E110" i="67"/>
  <c r="F110" i="67"/>
  <c r="D28" i="67"/>
  <c r="F30" i="67"/>
  <c r="G80" i="67"/>
  <c r="F96" i="67"/>
  <c r="G98" i="67"/>
  <c r="F100" i="67"/>
  <c r="G102" i="67"/>
  <c r="F104" i="67"/>
  <c r="G106" i="67"/>
  <c r="F108" i="67"/>
  <c r="G110" i="67"/>
  <c r="F112" i="67"/>
  <c r="F113" i="67"/>
  <c r="F54" i="67"/>
  <c r="E28" i="67"/>
  <c r="G28" i="67"/>
  <c r="G31" i="67" s="1"/>
  <c r="E30" i="67"/>
  <c r="G30" i="67"/>
  <c r="E93" i="67"/>
  <c r="F94" i="67" s="1"/>
  <c r="G93" i="67"/>
  <c r="E31" i="67" l="1"/>
  <c r="G113" i="67"/>
  <c r="G94" i="67"/>
  <c r="E113" i="67"/>
  <c r="E94" i="67"/>
  <c r="F31" i="67"/>
  <c r="C470" i="70" l="1"/>
  <c r="C373" i="64" l="1"/>
  <c r="C316" i="63"/>
  <c r="F247" i="63"/>
  <c r="F244" i="63"/>
  <c r="F243" i="63"/>
  <c r="F242" i="63"/>
  <c r="D249" i="63"/>
  <c r="E249" i="63"/>
  <c r="C249" i="63"/>
  <c r="E247" i="63"/>
  <c r="E244" i="63"/>
  <c r="E243" i="63"/>
  <c r="E242" i="63"/>
  <c r="D247" i="63"/>
  <c r="D244" i="63"/>
  <c r="D243" i="63"/>
  <c r="D242" i="63"/>
  <c r="C247" i="63"/>
  <c r="C244" i="63"/>
  <c r="C243" i="63"/>
  <c r="C242" i="63"/>
  <c r="D316" i="63"/>
  <c r="E316" i="63"/>
  <c r="F316" i="63"/>
  <c r="F320" i="63"/>
  <c r="E320" i="63"/>
  <c r="D320" i="63"/>
  <c r="C320" i="63"/>
  <c r="F249" i="63" l="1"/>
  <c r="C434" i="62" l="1"/>
  <c r="C210" i="60" l="1"/>
  <c r="F180" i="59" l="1"/>
  <c r="E180" i="59"/>
  <c r="D180" i="59"/>
  <c r="C180" i="59"/>
  <c r="G183" i="59"/>
  <c r="F162" i="58" l="1"/>
  <c r="D105" i="57"/>
  <c r="F92" i="29" l="1"/>
  <c r="D92" i="29"/>
  <c r="E92" i="29"/>
  <c r="C92" i="29"/>
  <c r="F90" i="29"/>
  <c r="E90" i="29"/>
  <c r="D90" i="29"/>
  <c r="C90" i="29"/>
  <c r="D88" i="29"/>
  <c r="E88" i="29"/>
  <c r="F88" i="29"/>
  <c r="C88" i="29"/>
  <c r="E86" i="29"/>
  <c r="D86" i="29"/>
  <c r="C86" i="29"/>
  <c r="D257" i="39" l="1"/>
  <c r="D256" i="39"/>
  <c r="F404" i="31" l="1"/>
  <c r="E404" i="31"/>
  <c r="D404" i="31"/>
  <c r="F376" i="31"/>
  <c r="E376" i="31"/>
  <c r="D376" i="31"/>
  <c r="F348" i="31"/>
  <c r="E348" i="31"/>
  <c r="D348" i="31"/>
  <c r="F286" i="31"/>
  <c r="E286" i="31"/>
  <c r="D286" i="31"/>
  <c r="F260" i="31"/>
  <c r="E260" i="31"/>
  <c r="D260" i="31"/>
  <c r="D234" i="31"/>
  <c r="C234" i="31"/>
  <c r="D201" i="31"/>
  <c r="D153" i="31"/>
  <c r="D149" i="31"/>
  <c r="C149" i="31"/>
  <c r="F127" i="31"/>
  <c r="E127" i="31"/>
  <c r="D127" i="31"/>
  <c r="C127" i="31"/>
  <c r="F123" i="31"/>
  <c r="E123" i="31"/>
  <c r="D123" i="31"/>
  <c r="C123" i="31"/>
  <c r="F122" i="31"/>
  <c r="E122" i="31"/>
  <c r="D122" i="31"/>
  <c r="F121" i="31"/>
  <c r="E121" i="31"/>
  <c r="D121" i="31"/>
  <c r="D66" i="31"/>
  <c r="C66" i="31"/>
  <c r="F40" i="31"/>
  <c r="E40" i="31"/>
  <c r="D40" i="31"/>
  <c r="D45" i="31" s="1"/>
  <c r="C40" i="31"/>
  <c r="F45" i="31"/>
  <c r="C45" i="31"/>
  <c r="E45" i="31"/>
  <c r="F488" i="70" l="1"/>
  <c r="E488" i="70"/>
  <c r="D488" i="70"/>
  <c r="C488" i="70"/>
  <c r="F486" i="70"/>
  <c r="E486" i="70"/>
  <c r="D486" i="70"/>
  <c r="C486" i="70"/>
  <c r="F485" i="70"/>
  <c r="E485" i="70"/>
  <c r="D485" i="70"/>
  <c r="F482" i="70"/>
  <c r="E482" i="70"/>
  <c r="D482" i="70"/>
  <c r="C482" i="70"/>
  <c r="F481" i="70"/>
  <c r="E481" i="70"/>
  <c r="D481" i="70"/>
  <c r="F478" i="70"/>
  <c r="E478" i="70"/>
  <c r="D478" i="70"/>
  <c r="C478" i="70"/>
  <c r="F476" i="70"/>
  <c r="E476" i="70"/>
  <c r="D476" i="70"/>
  <c r="C476" i="70"/>
  <c r="F469" i="70"/>
  <c r="E469" i="70"/>
  <c r="D469" i="70"/>
  <c r="C469" i="70"/>
  <c r="F464" i="70"/>
  <c r="E464" i="70"/>
  <c r="D464" i="70"/>
  <c r="C464" i="70"/>
  <c r="F457" i="70"/>
  <c r="E457" i="70"/>
  <c r="D457" i="70"/>
  <c r="F456" i="70"/>
  <c r="E456" i="70"/>
  <c r="D456" i="70"/>
  <c r="F455" i="70"/>
  <c r="E455" i="70"/>
  <c r="E458" i="70" s="1"/>
  <c r="D455" i="70"/>
  <c r="C455" i="70"/>
  <c r="F443" i="70"/>
  <c r="E443" i="70"/>
  <c r="D443" i="70"/>
  <c r="C443" i="70"/>
  <c r="F436" i="70"/>
  <c r="E436" i="70"/>
  <c r="D436" i="70"/>
  <c r="F435" i="70"/>
  <c r="E435" i="70"/>
  <c r="D435" i="70"/>
  <c r="F434" i="70"/>
  <c r="E434" i="70"/>
  <c r="D434" i="70"/>
  <c r="C434" i="70"/>
  <c r="F422" i="70"/>
  <c r="E422" i="70"/>
  <c r="D422" i="70"/>
  <c r="C422" i="70"/>
  <c r="F415" i="70"/>
  <c r="E415" i="70"/>
  <c r="D415" i="70"/>
  <c r="F414" i="70"/>
  <c r="E414" i="70"/>
  <c r="D414" i="70"/>
  <c r="F413" i="70"/>
  <c r="E413" i="70"/>
  <c r="D413" i="70"/>
  <c r="C413" i="70"/>
  <c r="F380" i="70"/>
  <c r="E380" i="70"/>
  <c r="D380" i="70"/>
  <c r="C380" i="70"/>
  <c r="F377" i="70"/>
  <c r="E377" i="70"/>
  <c r="D377" i="70"/>
  <c r="C377" i="70"/>
  <c r="F370" i="70"/>
  <c r="E370" i="70"/>
  <c r="D370" i="70"/>
  <c r="F369" i="70"/>
  <c r="E369" i="70"/>
  <c r="D369" i="70"/>
  <c r="F368" i="70"/>
  <c r="E368" i="70"/>
  <c r="F371" i="70" s="1"/>
  <c r="D368" i="70"/>
  <c r="C368" i="70"/>
  <c r="F349" i="70"/>
  <c r="F353" i="70" s="1"/>
  <c r="E349" i="70"/>
  <c r="E353" i="70" s="1"/>
  <c r="D349" i="70"/>
  <c r="D353" i="70" s="1"/>
  <c r="C349" i="70"/>
  <c r="C353" i="70" s="1"/>
  <c r="F323" i="70"/>
  <c r="E323" i="70"/>
  <c r="D323" i="70"/>
  <c r="F322" i="70"/>
  <c r="E322" i="70"/>
  <c r="D322" i="70"/>
  <c r="F321" i="70"/>
  <c r="E321" i="70"/>
  <c r="E324" i="70" s="1"/>
  <c r="D321" i="70"/>
  <c r="C321" i="70"/>
  <c r="F309" i="70"/>
  <c r="F313" i="70" s="1"/>
  <c r="E309" i="70"/>
  <c r="E313" i="70" s="1"/>
  <c r="D309" i="70"/>
  <c r="D313" i="70" s="1"/>
  <c r="C309" i="70"/>
  <c r="C313" i="70" s="1"/>
  <c r="F283" i="70"/>
  <c r="E283" i="70"/>
  <c r="D283" i="70"/>
  <c r="F282" i="70"/>
  <c r="E282" i="70"/>
  <c r="D282" i="70"/>
  <c r="F281" i="70"/>
  <c r="E281" i="70"/>
  <c r="D281" i="70"/>
  <c r="C281" i="70"/>
  <c r="F265" i="70"/>
  <c r="E265" i="70"/>
  <c r="D265" i="70"/>
  <c r="C265" i="70"/>
  <c r="F258" i="70"/>
  <c r="E258" i="70"/>
  <c r="D258" i="70"/>
  <c r="F257" i="70"/>
  <c r="E257" i="70"/>
  <c r="D257" i="70"/>
  <c r="F256" i="70"/>
  <c r="E256" i="70"/>
  <c r="D256" i="70"/>
  <c r="C256" i="70"/>
  <c r="F244" i="70"/>
  <c r="E244" i="70"/>
  <c r="D244" i="70"/>
  <c r="C244" i="70"/>
  <c r="F237" i="70"/>
  <c r="E237" i="70"/>
  <c r="D237" i="70"/>
  <c r="F236" i="70"/>
  <c r="E236" i="70"/>
  <c r="D236" i="70"/>
  <c r="F235" i="70"/>
  <c r="E235" i="70"/>
  <c r="D235" i="70"/>
  <c r="C235" i="70"/>
  <c r="F223" i="70"/>
  <c r="E223" i="70"/>
  <c r="D223" i="70"/>
  <c r="C223" i="70"/>
  <c r="F216" i="70"/>
  <c r="E216" i="70"/>
  <c r="D216" i="70"/>
  <c r="F215" i="70"/>
  <c r="E215" i="70"/>
  <c r="D215" i="70"/>
  <c r="F214" i="70"/>
  <c r="E214" i="70"/>
  <c r="E217" i="70" s="1"/>
  <c r="D214" i="70"/>
  <c r="C214" i="70"/>
  <c r="F200" i="70"/>
  <c r="E200" i="70"/>
  <c r="D200" i="70"/>
  <c r="C200" i="70"/>
  <c r="F193" i="70"/>
  <c r="E193" i="70"/>
  <c r="D193" i="70"/>
  <c r="F192" i="70"/>
  <c r="E192" i="70"/>
  <c r="D192" i="70"/>
  <c r="F191" i="70"/>
  <c r="E191" i="70"/>
  <c r="D191" i="70"/>
  <c r="C191" i="70"/>
  <c r="F158" i="70"/>
  <c r="E158" i="70"/>
  <c r="D158" i="70"/>
  <c r="C158" i="70"/>
  <c r="F155" i="70"/>
  <c r="F472" i="70" s="1"/>
  <c r="E155" i="70"/>
  <c r="D155" i="70"/>
  <c r="D472" i="70" s="1"/>
  <c r="C155" i="70"/>
  <c r="C472" i="70" s="1"/>
  <c r="F148" i="70"/>
  <c r="E148" i="70"/>
  <c r="D148" i="70"/>
  <c r="F147" i="70"/>
  <c r="E147" i="70"/>
  <c r="D147" i="70"/>
  <c r="F146" i="70"/>
  <c r="E146" i="70"/>
  <c r="D146" i="70"/>
  <c r="C146" i="70"/>
  <c r="F126" i="70"/>
  <c r="E126" i="70"/>
  <c r="D126" i="70"/>
  <c r="C126" i="70"/>
  <c r="F119" i="70"/>
  <c r="E119" i="70"/>
  <c r="D119" i="70"/>
  <c r="F118" i="70"/>
  <c r="E118" i="70"/>
  <c r="D118" i="70"/>
  <c r="F117" i="70"/>
  <c r="E117" i="70"/>
  <c r="D117" i="70"/>
  <c r="D120" i="70" s="1"/>
  <c r="F103" i="70"/>
  <c r="E103" i="70"/>
  <c r="D103" i="70"/>
  <c r="C103" i="70"/>
  <c r="F96" i="70"/>
  <c r="E96" i="70"/>
  <c r="D96" i="70"/>
  <c r="F95" i="70"/>
  <c r="E95" i="70"/>
  <c r="D95" i="70"/>
  <c r="F94" i="70"/>
  <c r="E94" i="70"/>
  <c r="D94" i="70"/>
  <c r="D97" i="70" s="1"/>
  <c r="C94" i="70"/>
  <c r="F82" i="70"/>
  <c r="E82" i="70"/>
  <c r="D82" i="70"/>
  <c r="C82" i="70"/>
  <c r="F75" i="70"/>
  <c r="E75" i="70"/>
  <c r="D75" i="70"/>
  <c r="F74" i="70"/>
  <c r="E74" i="70"/>
  <c r="D74" i="70"/>
  <c r="F73" i="70"/>
  <c r="E73" i="70"/>
  <c r="D73" i="70"/>
  <c r="D76" i="70" s="1"/>
  <c r="C73" i="70"/>
  <c r="F40" i="70"/>
  <c r="E40" i="70"/>
  <c r="E58" i="70" s="1"/>
  <c r="E62" i="70" s="1"/>
  <c r="D40" i="70"/>
  <c r="D58" i="70" s="1"/>
  <c r="D62" i="70" s="1"/>
  <c r="C40" i="70"/>
  <c r="C58" i="70" s="1"/>
  <c r="C62" i="70" s="1"/>
  <c r="F32" i="70"/>
  <c r="E32" i="70"/>
  <c r="D32" i="70"/>
  <c r="F31" i="70"/>
  <c r="E31" i="70"/>
  <c r="D31" i="70"/>
  <c r="F30" i="70"/>
  <c r="F33" i="70" s="1"/>
  <c r="E30" i="70"/>
  <c r="D30" i="70"/>
  <c r="C30" i="70"/>
  <c r="F303" i="69"/>
  <c r="E303" i="69"/>
  <c r="D303" i="69"/>
  <c r="C303" i="69"/>
  <c r="F301" i="69"/>
  <c r="E301" i="69"/>
  <c r="D301" i="69"/>
  <c r="C301" i="69"/>
  <c r="F299" i="69"/>
  <c r="E299" i="69"/>
  <c r="D299" i="69"/>
  <c r="C299" i="69"/>
  <c r="F297" i="69"/>
  <c r="E297" i="69"/>
  <c r="D297" i="69"/>
  <c r="C297" i="69"/>
  <c r="F295" i="69"/>
  <c r="E295" i="69"/>
  <c r="D295" i="69"/>
  <c r="C295" i="69"/>
  <c r="F293" i="69"/>
  <c r="E293" i="69"/>
  <c r="D293" i="69"/>
  <c r="C293" i="69"/>
  <c r="F291" i="69"/>
  <c r="E291" i="69"/>
  <c r="D291" i="69"/>
  <c r="C291" i="69"/>
  <c r="F289" i="69"/>
  <c r="E289" i="69"/>
  <c r="D289" i="69"/>
  <c r="C289" i="69"/>
  <c r="F287" i="69"/>
  <c r="E287" i="69"/>
  <c r="E285" i="69" s="1"/>
  <c r="D287" i="69"/>
  <c r="D285" i="69" s="1"/>
  <c r="C287" i="69"/>
  <c r="F284" i="69"/>
  <c r="E284" i="69"/>
  <c r="D284" i="69"/>
  <c r="F282" i="69"/>
  <c r="E282" i="69"/>
  <c r="D282" i="69"/>
  <c r="C282" i="69"/>
  <c r="F275" i="69"/>
  <c r="E275" i="69"/>
  <c r="D275" i="69"/>
  <c r="F274" i="69"/>
  <c r="E274" i="69"/>
  <c r="D274" i="69"/>
  <c r="F273" i="69"/>
  <c r="E273" i="69"/>
  <c r="D273" i="69"/>
  <c r="C273" i="69"/>
  <c r="F264" i="69"/>
  <c r="E264" i="69"/>
  <c r="D264" i="69"/>
  <c r="C264" i="69"/>
  <c r="F257" i="69"/>
  <c r="E257" i="69"/>
  <c r="D257" i="69"/>
  <c r="F256" i="69"/>
  <c r="E256" i="69"/>
  <c r="D256" i="69"/>
  <c r="F255" i="69"/>
  <c r="E255" i="69"/>
  <c r="D255" i="69"/>
  <c r="C255" i="69"/>
  <c r="F244" i="69"/>
  <c r="E244" i="69"/>
  <c r="D244" i="69"/>
  <c r="C244" i="69"/>
  <c r="F237" i="69"/>
  <c r="E237" i="69"/>
  <c r="D237" i="69"/>
  <c r="F236" i="69"/>
  <c r="E236" i="69"/>
  <c r="D236" i="69"/>
  <c r="F235" i="69"/>
  <c r="F238" i="69" s="1"/>
  <c r="E235" i="69"/>
  <c r="D235" i="69"/>
  <c r="C235" i="69"/>
  <c r="F226" i="69"/>
  <c r="E226" i="69"/>
  <c r="D226" i="69"/>
  <c r="C226" i="69"/>
  <c r="F219" i="69"/>
  <c r="E219" i="69"/>
  <c r="D219" i="69"/>
  <c r="F218" i="69"/>
  <c r="E218" i="69"/>
  <c r="D218" i="69"/>
  <c r="F217" i="69"/>
  <c r="E217" i="69"/>
  <c r="D217" i="69"/>
  <c r="C217" i="69"/>
  <c r="F205" i="69"/>
  <c r="F206" i="69" s="1"/>
  <c r="E205" i="69"/>
  <c r="E206" i="69" s="1"/>
  <c r="D205" i="69"/>
  <c r="D206" i="69" s="1"/>
  <c r="C205" i="69"/>
  <c r="C206" i="69" s="1"/>
  <c r="F193" i="69"/>
  <c r="E193" i="69"/>
  <c r="D193" i="69"/>
  <c r="F192" i="69"/>
  <c r="E192" i="69"/>
  <c r="D192" i="69"/>
  <c r="F191" i="69"/>
  <c r="F194" i="69" s="1"/>
  <c r="E191" i="69"/>
  <c r="D191" i="69"/>
  <c r="C191" i="69"/>
  <c r="F182" i="69"/>
  <c r="F183" i="69" s="1"/>
  <c r="E182" i="69"/>
  <c r="E183" i="69" s="1"/>
  <c r="D182" i="69"/>
  <c r="D183" i="69" s="1"/>
  <c r="C182" i="69"/>
  <c r="C183" i="69" s="1"/>
  <c r="F168" i="69"/>
  <c r="E168" i="69"/>
  <c r="D168" i="69"/>
  <c r="F167" i="69"/>
  <c r="E167" i="69"/>
  <c r="D167" i="69"/>
  <c r="F166" i="69"/>
  <c r="E166" i="69"/>
  <c r="D166" i="69"/>
  <c r="C166" i="69"/>
  <c r="F149" i="69"/>
  <c r="E149" i="69"/>
  <c r="D149" i="69"/>
  <c r="C149" i="69"/>
  <c r="F142" i="69"/>
  <c r="E142" i="69"/>
  <c r="D142" i="69"/>
  <c r="F141" i="69"/>
  <c r="E141" i="69"/>
  <c r="D141" i="69"/>
  <c r="F140" i="69"/>
  <c r="E140" i="69"/>
  <c r="D140" i="69"/>
  <c r="C140" i="69"/>
  <c r="F131" i="69"/>
  <c r="E131" i="69"/>
  <c r="D131" i="69"/>
  <c r="C131" i="69"/>
  <c r="F124" i="69"/>
  <c r="E124" i="69"/>
  <c r="D124" i="69"/>
  <c r="F123" i="69"/>
  <c r="E123" i="69"/>
  <c r="D123" i="69"/>
  <c r="F122" i="69"/>
  <c r="E122" i="69"/>
  <c r="D122" i="69"/>
  <c r="D125" i="69" s="1"/>
  <c r="C122" i="69"/>
  <c r="F111" i="69"/>
  <c r="E111" i="69"/>
  <c r="D111" i="69"/>
  <c r="C111" i="69"/>
  <c r="F104" i="69"/>
  <c r="E104" i="69"/>
  <c r="D104" i="69"/>
  <c r="F103" i="69"/>
  <c r="E103" i="69"/>
  <c r="D103" i="69"/>
  <c r="F102" i="69"/>
  <c r="E102" i="69"/>
  <c r="D102" i="69"/>
  <c r="C102" i="69"/>
  <c r="F90" i="69"/>
  <c r="E90" i="69"/>
  <c r="D90" i="69"/>
  <c r="C90" i="69"/>
  <c r="F83" i="69"/>
  <c r="E83" i="69"/>
  <c r="D83" i="69"/>
  <c r="F82" i="69"/>
  <c r="E82" i="69"/>
  <c r="D82" i="69"/>
  <c r="F81" i="69"/>
  <c r="E81" i="69"/>
  <c r="D81" i="69"/>
  <c r="C81" i="69"/>
  <c r="F69" i="69"/>
  <c r="F70" i="69" s="1"/>
  <c r="E69" i="69"/>
  <c r="E70" i="69" s="1"/>
  <c r="D69" i="69"/>
  <c r="D70" i="69" s="1"/>
  <c r="C69" i="69"/>
  <c r="C70" i="69" s="1"/>
  <c r="F57" i="69"/>
  <c r="E57" i="69"/>
  <c r="D57" i="69"/>
  <c r="F56" i="69"/>
  <c r="E56" i="69"/>
  <c r="D56" i="69"/>
  <c r="F55" i="69"/>
  <c r="F58" i="69" s="1"/>
  <c r="E55" i="69"/>
  <c r="D55" i="69"/>
  <c r="C55" i="69"/>
  <c r="F46" i="69"/>
  <c r="F47" i="69" s="1"/>
  <c r="E46" i="69"/>
  <c r="E47" i="69" s="1"/>
  <c r="D46" i="69"/>
  <c r="D47" i="69" s="1"/>
  <c r="C46" i="69"/>
  <c r="C47" i="69" s="1"/>
  <c r="F34" i="69"/>
  <c r="E34" i="69"/>
  <c r="D34" i="69"/>
  <c r="F33" i="69"/>
  <c r="E33" i="69"/>
  <c r="D33" i="69"/>
  <c r="F32" i="69"/>
  <c r="E32" i="69"/>
  <c r="F35" i="69" s="1"/>
  <c r="D32" i="69"/>
  <c r="C32" i="69"/>
  <c r="D35" i="69" s="1"/>
  <c r="F304" i="68"/>
  <c r="E304" i="68"/>
  <c r="D304" i="68"/>
  <c r="C304" i="68"/>
  <c r="F302" i="68"/>
  <c r="E302" i="68"/>
  <c r="D302" i="68"/>
  <c r="C302" i="68"/>
  <c r="F300" i="68"/>
  <c r="E300" i="68"/>
  <c r="D300" i="68"/>
  <c r="C300" i="68"/>
  <c r="F298" i="68"/>
  <c r="E298" i="68"/>
  <c r="D298" i="68"/>
  <c r="C298" i="68"/>
  <c r="D299" i="68" s="1"/>
  <c r="F296" i="68"/>
  <c r="E296" i="68"/>
  <c r="D296" i="68"/>
  <c r="C296" i="68"/>
  <c r="F294" i="68"/>
  <c r="E294" i="68"/>
  <c r="D294" i="68"/>
  <c r="C294" i="68"/>
  <c r="F292" i="68"/>
  <c r="E292" i="68"/>
  <c r="D292" i="68"/>
  <c r="C292" i="68"/>
  <c r="F290" i="68"/>
  <c r="E290" i="68"/>
  <c r="D290" i="68"/>
  <c r="C290" i="68"/>
  <c r="F288" i="68"/>
  <c r="E288" i="68"/>
  <c r="D288" i="68"/>
  <c r="C288" i="68"/>
  <c r="F285" i="68"/>
  <c r="E285" i="68"/>
  <c r="D285" i="68"/>
  <c r="F283" i="68"/>
  <c r="E283" i="68"/>
  <c r="D283" i="68"/>
  <c r="C283" i="68"/>
  <c r="F276" i="68"/>
  <c r="E276" i="68"/>
  <c r="D276" i="68"/>
  <c r="F275" i="68"/>
  <c r="E275" i="68"/>
  <c r="D275" i="68"/>
  <c r="F274" i="68"/>
  <c r="E274" i="68"/>
  <c r="D274" i="68"/>
  <c r="C274" i="68"/>
  <c r="F265" i="68"/>
  <c r="E265" i="68"/>
  <c r="D265" i="68"/>
  <c r="C265" i="68"/>
  <c r="F258" i="68"/>
  <c r="E258" i="68"/>
  <c r="D258" i="68"/>
  <c r="F257" i="68"/>
  <c r="E257" i="68"/>
  <c r="D257" i="68"/>
  <c r="F256" i="68"/>
  <c r="E256" i="68"/>
  <c r="E259" i="68" s="1"/>
  <c r="D256" i="68"/>
  <c r="C256" i="68"/>
  <c r="F245" i="68"/>
  <c r="E245" i="68"/>
  <c r="D245" i="68"/>
  <c r="C245" i="68"/>
  <c r="F238" i="68"/>
  <c r="E238" i="68"/>
  <c r="D238" i="68"/>
  <c r="F237" i="68"/>
  <c r="E237" i="68"/>
  <c r="D237" i="68"/>
  <c r="F236" i="68"/>
  <c r="E236" i="68"/>
  <c r="D236" i="68"/>
  <c r="C236" i="68"/>
  <c r="F227" i="68"/>
  <c r="E227" i="68"/>
  <c r="D227" i="68"/>
  <c r="C227" i="68"/>
  <c r="F220" i="68"/>
  <c r="E220" i="68"/>
  <c r="D220" i="68"/>
  <c r="F219" i="68"/>
  <c r="E219" i="68"/>
  <c r="D219" i="68"/>
  <c r="F218" i="68"/>
  <c r="E218" i="68"/>
  <c r="E221" i="68" s="1"/>
  <c r="D218" i="68"/>
  <c r="C218" i="68"/>
  <c r="F206" i="68"/>
  <c r="F207" i="68" s="1"/>
  <c r="E206" i="68"/>
  <c r="E207" i="68" s="1"/>
  <c r="D206" i="68"/>
  <c r="D207" i="68" s="1"/>
  <c r="C206" i="68"/>
  <c r="C207" i="68" s="1"/>
  <c r="F194" i="68"/>
  <c r="E194" i="68"/>
  <c r="D194" i="68"/>
  <c r="F193" i="68"/>
  <c r="E193" i="68"/>
  <c r="D193" i="68"/>
  <c r="F192" i="68"/>
  <c r="E192" i="68"/>
  <c r="D192" i="68"/>
  <c r="D195" i="68" s="1"/>
  <c r="C192" i="68"/>
  <c r="F183" i="68"/>
  <c r="F184" i="68" s="1"/>
  <c r="E183" i="68"/>
  <c r="E184" i="68" s="1"/>
  <c r="D183" i="68"/>
  <c r="D184" i="68" s="1"/>
  <c r="C183" i="68"/>
  <c r="C184" i="68" s="1"/>
  <c r="F169" i="68"/>
  <c r="E169" i="68"/>
  <c r="D169" i="68"/>
  <c r="F168" i="68"/>
  <c r="E168" i="68"/>
  <c r="D168" i="68"/>
  <c r="F167" i="68"/>
  <c r="F170" i="68" s="1"/>
  <c r="E167" i="68"/>
  <c r="D167" i="68"/>
  <c r="C167" i="68"/>
  <c r="F150" i="68"/>
  <c r="E150" i="68"/>
  <c r="D150" i="68"/>
  <c r="C150" i="68"/>
  <c r="F143" i="68"/>
  <c r="E143" i="68"/>
  <c r="D143" i="68"/>
  <c r="F142" i="68"/>
  <c r="E142" i="68"/>
  <c r="D142" i="68"/>
  <c r="F141" i="68"/>
  <c r="E141" i="68"/>
  <c r="D141" i="68"/>
  <c r="D144" i="68" s="1"/>
  <c r="C141" i="68"/>
  <c r="F132" i="68"/>
  <c r="E132" i="68"/>
  <c r="D132" i="68"/>
  <c r="C132" i="68"/>
  <c r="F125" i="68"/>
  <c r="E125" i="68"/>
  <c r="D125" i="68"/>
  <c r="F124" i="68"/>
  <c r="E124" i="68"/>
  <c r="D124" i="68"/>
  <c r="F123" i="68"/>
  <c r="E123" i="68"/>
  <c r="D123" i="68"/>
  <c r="C123" i="68"/>
  <c r="F112" i="68"/>
  <c r="E112" i="68"/>
  <c r="D112" i="68"/>
  <c r="C112" i="68"/>
  <c r="F105" i="68"/>
  <c r="E105" i="68"/>
  <c r="D105" i="68"/>
  <c r="F104" i="68"/>
  <c r="E104" i="68"/>
  <c r="D104" i="68"/>
  <c r="F103" i="68"/>
  <c r="E103" i="68"/>
  <c r="D103" i="68"/>
  <c r="D106" i="68" s="1"/>
  <c r="C103" i="68"/>
  <c r="F91" i="68"/>
  <c r="E91" i="68"/>
  <c r="D91" i="68"/>
  <c r="C91" i="68"/>
  <c r="F84" i="68"/>
  <c r="E84" i="68"/>
  <c r="D84" i="68"/>
  <c r="F83" i="68"/>
  <c r="E83" i="68"/>
  <c r="D83" i="68"/>
  <c r="F82" i="68"/>
  <c r="F85" i="68" s="1"/>
  <c r="E82" i="68"/>
  <c r="D82" i="68"/>
  <c r="C82" i="68"/>
  <c r="F70" i="68"/>
  <c r="F71" i="68" s="1"/>
  <c r="E70" i="68"/>
  <c r="E71" i="68" s="1"/>
  <c r="D70" i="68"/>
  <c r="D71" i="68" s="1"/>
  <c r="C70" i="68"/>
  <c r="C71" i="68" s="1"/>
  <c r="F58" i="68"/>
  <c r="E58" i="68"/>
  <c r="D58" i="68"/>
  <c r="F57" i="68"/>
  <c r="E57" i="68"/>
  <c r="D57" i="68"/>
  <c r="F56" i="68"/>
  <c r="E56" i="68"/>
  <c r="D56" i="68"/>
  <c r="C56" i="68"/>
  <c r="F47" i="68"/>
  <c r="F48" i="68" s="1"/>
  <c r="E47" i="68"/>
  <c r="E48" i="68" s="1"/>
  <c r="D47" i="68"/>
  <c r="D48" i="68" s="1"/>
  <c r="C47" i="68"/>
  <c r="C48" i="68" s="1"/>
  <c r="F35" i="68"/>
  <c r="E35" i="68"/>
  <c r="D35" i="68"/>
  <c r="F34" i="68"/>
  <c r="E34" i="68"/>
  <c r="D34" i="68"/>
  <c r="F33" i="68"/>
  <c r="E33" i="68"/>
  <c r="D33" i="68"/>
  <c r="D36" i="68" s="1"/>
  <c r="C33" i="68"/>
  <c r="F141" i="66"/>
  <c r="E141" i="66"/>
  <c r="D141" i="66"/>
  <c r="C141" i="66"/>
  <c r="F139" i="66"/>
  <c r="E139" i="66"/>
  <c r="D139" i="66"/>
  <c r="C139" i="66"/>
  <c r="F137" i="66"/>
  <c r="E137" i="66"/>
  <c r="D137" i="66"/>
  <c r="C137" i="66"/>
  <c r="F135" i="66"/>
  <c r="E135" i="66"/>
  <c r="D135" i="66"/>
  <c r="C135" i="66"/>
  <c r="F132" i="66"/>
  <c r="E132" i="66"/>
  <c r="D132" i="66"/>
  <c r="C132" i="66"/>
  <c r="F126" i="66"/>
  <c r="F127" i="66" s="1"/>
  <c r="E126" i="66"/>
  <c r="E127" i="66" s="1"/>
  <c r="D126" i="66"/>
  <c r="D127" i="66" s="1"/>
  <c r="C126" i="66"/>
  <c r="C127" i="66" s="1"/>
  <c r="F120" i="66"/>
  <c r="E120" i="66"/>
  <c r="D120" i="66"/>
  <c r="F119" i="66"/>
  <c r="E119" i="66"/>
  <c r="D119" i="66"/>
  <c r="F118" i="66"/>
  <c r="E118" i="66"/>
  <c r="D118" i="66"/>
  <c r="C118" i="66"/>
  <c r="F108" i="66"/>
  <c r="F109" i="66" s="1"/>
  <c r="E108" i="66"/>
  <c r="E109" i="66" s="1"/>
  <c r="D108" i="66"/>
  <c r="D109" i="66" s="1"/>
  <c r="C108" i="66"/>
  <c r="C109" i="66" s="1"/>
  <c r="F102" i="66"/>
  <c r="E102" i="66"/>
  <c r="D102" i="66"/>
  <c r="F101" i="66"/>
  <c r="E101" i="66"/>
  <c r="D101" i="66"/>
  <c r="F100" i="66"/>
  <c r="E100" i="66"/>
  <c r="D100" i="66"/>
  <c r="C100" i="66"/>
  <c r="F88" i="66"/>
  <c r="F89" i="66" s="1"/>
  <c r="E88" i="66"/>
  <c r="E89" i="66" s="1"/>
  <c r="D88" i="66"/>
  <c r="D89" i="66" s="1"/>
  <c r="C88" i="66"/>
  <c r="C89" i="66" s="1"/>
  <c r="F82" i="66"/>
  <c r="E82" i="66"/>
  <c r="D82" i="66"/>
  <c r="F81" i="66"/>
  <c r="E81" i="66"/>
  <c r="D81" i="66"/>
  <c r="F80" i="66"/>
  <c r="E80" i="66"/>
  <c r="E83" i="66" s="1"/>
  <c r="D80" i="66"/>
  <c r="C80" i="66"/>
  <c r="F68" i="66"/>
  <c r="E68" i="66"/>
  <c r="D68" i="66"/>
  <c r="C66" i="66"/>
  <c r="C68" i="66" s="1"/>
  <c r="C59" i="66"/>
  <c r="F47" i="66"/>
  <c r="F48" i="66" s="1"/>
  <c r="E47" i="66"/>
  <c r="E48" i="66" s="1"/>
  <c r="D47" i="66"/>
  <c r="D48" i="66" s="1"/>
  <c r="C47" i="66"/>
  <c r="C48" i="66" s="1"/>
  <c r="F35" i="66"/>
  <c r="E35" i="66"/>
  <c r="D35" i="66"/>
  <c r="F34" i="66"/>
  <c r="E34" i="66"/>
  <c r="D34" i="66"/>
  <c r="F33" i="66"/>
  <c r="F36" i="66" s="1"/>
  <c r="E33" i="66"/>
  <c r="D33" i="66"/>
  <c r="C33" i="66"/>
  <c r="F225" i="65"/>
  <c r="E225" i="65"/>
  <c r="D225" i="65"/>
  <c r="C225" i="65"/>
  <c r="F223" i="65"/>
  <c r="E223" i="65"/>
  <c r="D223" i="65"/>
  <c r="C223" i="65"/>
  <c r="F221" i="65"/>
  <c r="E221" i="65"/>
  <c r="D221" i="65"/>
  <c r="C221" i="65"/>
  <c r="F219" i="65"/>
  <c r="E219" i="65"/>
  <c r="D219" i="65"/>
  <c r="C219" i="65"/>
  <c r="F217" i="65"/>
  <c r="E217" i="65"/>
  <c r="D217" i="65"/>
  <c r="C217" i="65"/>
  <c r="F215" i="65"/>
  <c r="E215" i="65"/>
  <c r="D215" i="65"/>
  <c r="C215" i="65"/>
  <c r="F213" i="65"/>
  <c r="E213" i="65"/>
  <c r="D213" i="65"/>
  <c r="C213" i="65"/>
  <c r="F211" i="65"/>
  <c r="E211" i="65"/>
  <c r="D211" i="65"/>
  <c r="C211" i="65"/>
  <c r="F209" i="65"/>
  <c r="E209" i="65"/>
  <c r="D209" i="65"/>
  <c r="D207" i="65" s="1"/>
  <c r="C209" i="65"/>
  <c r="F201" i="65"/>
  <c r="E201" i="65"/>
  <c r="D201" i="65"/>
  <c r="C201" i="65"/>
  <c r="F178" i="65"/>
  <c r="E178" i="65"/>
  <c r="D178" i="65"/>
  <c r="C178" i="65"/>
  <c r="F171" i="65"/>
  <c r="E171" i="65"/>
  <c r="F170" i="65"/>
  <c r="E170" i="65"/>
  <c r="D170" i="65"/>
  <c r="F169" i="65"/>
  <c r="E169" i="65"/>
  <c r="D169" i="65"/>
  <c r="C169" i="65"/>
  <c r="F154" i="65"/>
  <c r="E154" i="65"/>
  <c r="D154" i="65"/>
  <c r="C154" i="65"/>
  <c r="C158" i="65" s="1"/>
  <c r="F125" i="65"/>
  <c r="E125" i="65"/>
  <c r="D125" i="65"/>
  <c r="F123" i="65"/>
  <c r="F140" i="65" s="1"/>
  <c r="E123" i="65"/>
  <c r="E140" i="65" s="1"/>
  <c r="D123" i="65"/>
  <c r="C123" i="65"/>
  <c r="C140" i="65" s="1"/>
  <c r="F105" i="65"/>
  <c r="E105" i="65"/>
  <c r="D105" i="65"/>
  <c r="C105" i="65"/>
  <c r="F82" i="65"/>
  <c r="E82" i="65"/>
  <c r="D82" i="65"/>
  <c r="C82" i="65"/>
  <c r="F75" i="65"/>
  <c r="E75" i="65"/>
  <c r="F74" i="65"/>
  <c r="E74" i="65"/>
  <c r="D74" i="65"/>
  <c r="F73" i="65"/>
  <c r="E73" i="65"/>
  <c r="E76" i="65" s="1"/>
  <c r="D73" i="65"/>
  <c r="C73" i="65"/>
  <c r="F58" i="65"/>
  <c r="E58" i="65"/>
  <c r="D58" i="65"/>
  <c r="C58" i="65"/>
  <c r="F31" i="65"/>
  <c r="E31" i="65"/>
  <c r="D31" i="65"/>
  <c r="F29" i="65"/>
  <c r="F30" i="65" s="1"/>
  <c r="E29" i="65"/>
  <c r="E44" i="65" s="1"/>
  <c r="D29" i="65"/>
  <c r="D30" i="65" s="1"/>
  <c r="C29" i="65"/>
  <c r="C44" i="65" s="1"/>
  <c r="F391" i="64"/>
  <c r="F392" i="64" s="1"/>
  <c r="E391" i="64"/>
  <c r="D391" i="64"/>
  <c r="C391" i="64"/>
  <c r="F389" i="64"/>
  <c r="E389" i="64"/>
  <c r="D389" i="64"/>
  <c r="C389" i="64"/>
  <c r="F387" i="64"/>
  <c r="F388" i="64" s="1"/>
  <c r="E387" i="64"/>
  <c r="D387" i="64"/>
  <c r="C387" i="64"/>
  <c r="F385" i="64"/>
  <c r="F386" i="64" s="1"/>
  <c r="E385" i="64"/>
  <c r="D385" i="64"/>
  <c r="C385" i="64"/>
  <c r="F383" i="64"/>
  <c r="F384" i="64" s="1"/>
  <c r="E383" i="64"/>
  <c r="D383" i="64"/>
  <c r="C383" i="64"/>
  <c r="F381" i="64"/>
  <c r="E381" i="64"/>
  <c r="D381" i="64"/>
  <c r="C381" i="64"/>
  <c r="F379" i="64"/>
  <c r="F380" i="64" s="1"/>
  <c r="E379" i="64"/>
  <c r="D379" i="64"/>
  <c r="C379" i="64"/>
  <c r="F377" i="64"/>
  <c r="F378" i="64" s="1"/>
  <c r="E377" i="64"/>
  <c r="D377" i="64"/>
  <c r="C377" i="64"/>
  <c r="F375" i="64"/>
  <c r="F376" i="64" s="1"/>
  <c r="E375" i="64"/>
  <c r="D375" i="64"/>
  <c r="C375" i="64"/>
  <c r="E373" i="64"/>
  <c r="F372" i="64"/>
  <c r="E372" i="64"/>
  <c r="D372" i="64"/>
  <c r="C372" i="64"/>
  <c r="F367" i="64"/>
  <c r="E367" i="64"/>
  <c r="D367" i="64"/>
  <c r="C367" i="64"/>
  <c r="F360" i="64"/>
  <c r="E360" i="64"/>
  <c r="D360" i="64"/>
  <c r="F359" i="64"/>
  <c r="E359" i="64"/>
  <c r="D359" i="64"/>
  <c r="F358" i="64"/>
  <c r="E358" i="64"/>
  <c r="E361" i="64" s="1"/>
  <c r="D358" i="64"/>
  <c r="C358" i="64"/>
  <c r="F346" i="64"/>
  <c r="E346" i="64"/>
  <c r="D346" i="64"/>
  <c r="C346" i="64"/>
  <c r="F339" i="64"/>
  <c r="E339" i="64"/>
  <c r="D339" i="64"/>
  <c r="F338" i="64"/>
  <c r="E338" i="64"/>
  <c r="D338" i="64"/>
  <c r="F337" i="64"/>
  <c r="E337" i="64"/>
  <c r="D337" i="64"/>
  <c r="C337" i="64"/>
  <c r="F323" i="64"/>
  <c r="E323" i="64"/>
  <c r="D323" i="64"/>
  <c r="C323" i="64"/>
  <c r="F316" i="64"/>
  <c r="E316" i="64"/>
  <c r="D316" i="64"/>
  <c r="F315" i="64"/>
  <c r="E315" i="64"/>
  <c r="D315" i="64"/>
  <c r="F314" i="64"/>
  <c r="E314" i="64"/>
  <c r="E317" i="64" s="1"/>
  <c r="D314" i="64"/>
  <c r="C314" i="64"/>
  <c r="F302" i="64"/>
  <c r="E302" i="64"/>
  <c r="D302" i="64"/>
  <c r="C302" i="64"/>
  <c r="F295" i="64"/>
  <c r="E295" i="64"/>
  <c r="D295" i="64"/>
  <c r="F294" i="64"/>
  <c r="E294" i="64"/>
  <c r="D294" i="64"/>
  <c r="F293" i="64"/>
  <c r="E293" i="64"/>
  <c r="D293" i="64"/>
  <c r="C293" i="64"/>
  <c r="F278" i="64"/>
  <c r="F282" i="64" s="1"/>
  <c r="E278" i="64"/>
  <c r="E282" i="64" s="1"/>
  <c r="D278" i="64"/>
  <c r="D282" i="64" s="1"/>
  <c r="C278" i="64"/>
  <c r="C282" i="64" s="1"/>
  <c r="F252" i="64"/>
  <c r="E252" i="64"/>
  <c r="D252" i="64"/>
  <c r="F251" i="64"/>
  <c r="E251" i="64"/>
  <c r="D251" i="64"/>
  <c r="F250" i="64"/>
  <c r="E250" i="64"/>
  <c r="D250" i="64"/>
  <c r="C250" i="64"/>
  <c r="F238" i="64"/>
  <c r="F242" i="64" s="1"/>
  <c r="E238" i="64"/>
  <c r="E242" i="64" s="1"/>
  <c r="D238" i="64"/>
  <c r="D242" i="64" s="1"/>
  <c r="C238" i="64"/>
  <c r="C242" i="64" s="1"/>
  <c r="F210" i="64"/>
  <c r="E210" i="64"/>
  <c r="D210" i="64"/>
  <c r="F209" i="64"/>
  <c r="E209" i="64"/>
  <c r="D209" i="64"/>
  <c r="F208" i="64"/>
  <c r="E208" i="64"/>
  <c r="E211" i="64" s="1"/>
  <c r="D208" i="64"/>
  <c r="C208" i="64"/>
  <c r="F188" i="64"/>
  <c r="E188" i="64"/>
  <c r="D188" i="64"/>
  <c r="C188" i="64"/>
  <c r="F181" i="64"/>
  <c r="E181" i="64"/>
  <c r="D181" i="64"/>
  <c r="F180" i="64"/>
  <c r="E180" i="64"/>
  <c r="D180" i="64"/>
  <c r="F179" i="64"/>
  <c r="E179" i="64"/>
  <c r="E182" i="64" s="1"/>
  <c r="D179" i="64"/>
  <c r="C179" i="64"/>
  <c r="F167" i="64"/>
  <c r="E167" i="64"/>
  <c r="D167" i="64"/>
  <c r="C167" i="64"/>
  <c r="F160" i="64"/>
  <c r="E160" i="64"/>
  <c r="D160" i="64"/>
  <c r="F159" i="64"/>
  <c r="E159" i="64"/>
  <c r="D159" i="64"/>
  <c r="F158" i="64"/>
  <c r="E158" i="64"/>
  <c r="D158" i="64"/>
  <c r="C158" i="64"/>
  <c r="F144" i="64"/>
  <c r="E144" i="64"/>
  <c r="D144" i="64"/>
  <c r="C144" i="64"/>
  <c r="F137" i="64"/>
  <c r="E137" i="64"/>
  <c r="D137" i="64"/>
  <c r="F136" i="64"/>
  <c r="E136" i="64"/>
  <c r="D136" i="64"/>
  <c r="F135" i="64"/>
  <c r="E135" i="64"/>
  <c r="D135" i="64"/>
  <c r="C135" i="64"/>
  <c r="F123" i="64"/>
  <c r="E123" i="64"/>
  <c r="D123" i="64"/>
  <c r="C123" i="64"/>
  <c r="F116" i="64"/>
  <c r="E116" i="64"/>
  <c r="D116" i="64"/>
  <c r="F115" i="64"/>
  <c r="E115" i="64"/>
  <c r="D115" i="64"/>
  <c r="F114" i="64"/>
  <c r="E114" i="64"/>
  <c r="E117" i="64" s="1"/>
  <c r="D114" i="64"/>
  <c r="C114" i="64"/>
  <c r="F99" i="64"/>
  <c r="F103" i="64" s="1"/>
  <c r="E99" i="64"/>
  <c r="E103" i="64" s="1"/>
  <c r="D99" i="64"/>
  <c r="D103" i="64" s="1"/>
  <c r="C99" i="64"/>
  <c r="C103" i="64" s="1"/>
  <c r="F73" i="64"/>
  <c r="E73" i="64"/>
  <c r="D73" i="64"/>
  <c r="F72" i="64"/>
  <c r="E72" i="64"/>
  <c r="D72" i="64"/>
  <c r="F71" i="64"/>
  <c r="E71" i="64"/>
  <c r="E74" i="64" s="1"/>
  <c r="D71" i="64"/>
  <c r="C71" i="64"/>
  <c r="F59" i="64"/>
  <c r="F63" i="64" s="1"/>
  <c r="E59" i="64"/>
  <c r="E63" i="64" s="1"/>
  <c r="D59" i="64"/>
  <c r="D63" i="64" s="1"/>
  <c r="C59" i="64"/>
  <c r="C63" i="64" s="1"/>
  <c r="F33" i="64"/>
  <c r="E33" i="64"/>
  <c r="D33" i="64"/>
  <c r="F32" i="64"/>
  <c r="E32" i="64"/>
  <c r="D32" i="64"/>
  <c r="F31" i="64"/>
  <c r="E31" i="64"/>
  <c r="D31" i="64"/>
  <c r="C31" i="64"/>
  <c r="B8" i="64"/>
  <c r="F431" i="62"/>
  <c r="F421" i="62" s="1"/>
  <c r="F422" i="62" s="1"/>
  <c r="E431" i="62"/>
  <c r="E421" i="62" s="1"/>
  <c r="D431" i="62"/>
  <c r="C431" i="62"/>
  <c r="C421" i="62" s="1"/>
  <c r="C422" i="62" s="1"/>
  <c r="F423" i="62"/>
  <c r="E423" i="62"/>
  <c r="D423" i="62"/>
  <c r="F413" i="62"/>
  <c r="F403" i="62" s="1"/>
  <c r="E413" i="62"/>
  <c r="E403" i="62" s="1"/>
  <c r="D413" i="62"/>
  <c r="D403" i="62" s="1"/>
  <c r="D404" i="62" s="1"/>
  <c r="C413" i="62"/>
  <c r="F405" i="62"/>
  <c r="E405" i="62"/>
  <c r="D405" i="62"/>
  <c r="C403" i="62"/>
  <c r="F395" i="62"/>
  <c r="F385" i="62" s="1"/>
  <c r="E395" i="62"/>
  <c r="E385" i="62" s="1"/>
  <c r="E386" i="62" s="1"/>
  <c r="D395" i="62"/>
  <c r="C395" i="62"/>
  <c r="C385" i="62" s="1"/>
  <c r="C386" i="62" s="1"/>
  <c r="F387" i="62"/>
  <c r="E387" i="62"/>
  <c r="D387" i="62"/>
  <c r="D385" i="62"/>
  <c r="F377" i="62"/>
  <c r="F367" i="62" s="1"/>
  <c r="F368" i="62" s="1"/>
  <c r="E377" i="62"/>
  <c r="E367" i="62" s="1"/>
  <c r="D377" i="62"/>
  <c r="D367" i="62" s="1"/>
  <c r="C377" i="62"/>
  <c r="C367" i="62" s="1"/>
  <c r="C368" i="62" s="1"/>
  <c r="F369" i="62"/>
  <c r="E369" i="62"/>
  <c r="D369" i="62"/>
  <c r="F359" i="62"/>
  <c r="F349" i="62" s="1"/>
  <c r="F350" i="62" s="1"/>
  <c r="E359" i="62"/>
  <c r="E349" i="62" s="1"/>
  <c r="D359" i="62"/>
  <c r="D349" i="62" s="1"/>
  <c r="C359" i="62"/>
  <c r="C349" i="62" s="1"/>
  <c r="C350" i="62" s="1"/>
  <c r="F351" i="62"/>
  <c r="E351" i="62"/>
  <c r="D351" i="62"/>
  <c r="F341" i="62"/>
  <c r="F331" i="62" s="1"/>
  <c r="E341" i="62"/>
  <c r="E331" i="62" s="1"/>
  <c r="E332" i="62" s="1"/>
  <c r="D341" i="62"/>
  <c r="D331" i="62" s="1"/>
  <c r="C341" i="62"/>
  <c r="F333" i="62"/>
  <c r="E333" i="62"/>
  <c r="D333" i="62"/>
  <c r="C331" i="62"/>
  <c r="F323" i="62"/>
  <c r="F313" i="62" s="1"/>
  <c r="F314" i="62" s="1"/>
  <c r="E323" i="62"/>
  <c r="E313" i="62" s="1"/>
  <c r="E314" i="62" s="1"/>
  <c r="D323" i="62"/>
  <c r="D313" i="62" s="1"/>
  <c r="D314" i="62" s="1"/>
  <c r="C323" i="62"/>
  <c r="C313" i="62" s="1"/>
  <c r="C314" i="62" s="1"/>
  <c r="F315" i="62"/>
  <c r="E315" i="62"/>
  <c r="D315" i="62"/>
  <c r="F301" i="62"/>
  <c r="F286" i="62" s="1"/>
  <c r="F287" i="62" s="1"/>
  <c r="E301" i="62"/>
  <c r="E286" i="62" s="1"/>
  <c r="E287" i="62" s="1"/>
  <c r="D301" i="62"/>
  <c r="D286" i="62" s="1"/>
  <c r="C301" i="62"/>
  <c r="F288" i="62"/>
  <c r="E288" i="62"/>
  <c r="D288" i="62"/>
  <c r="F275" i="62"/>
  <c r="F260" i="62" s="1"/>
  <c r="F261" i="62" s="1"/>
  <c r="E275" i="62"/>
  <c r="E260" i="62" s="1"/>
  <c r="D275" i="62"/>
  <c r="C275" i="62"/>
  <c r="F262" i="62"/>
  <c r="E262" i="62"/>
  <c r="D262" i="62"/>
  <c r="C260" i="62"/>
  <c r="C261" i="62" s="1"/>
  <c r="F249" i="62"/>
  <c r="E249" i="62"/>
  <c r="D249" i="62"/>
  <c r="D234" i="62" s="1"/>
  <c r="D235" i="62" s="1"/>
  <c r="C249" i="62"/>
  <c r="F236" i="62"/>
  <c r="E236" i="62"/>
  <c r="D236" i="62"/>
  <c r="C234" i="62"/>
  <c r="F226" i="62"/>
  <c r="E226" i="62"/>
  <c r="E211" i="62" s="1"/>
  <c r="E212" i="62" s="1"/>
  <c r="D226" i="62"/>
  <c r="D211" i="62" s="1"/>
  <c r="C226" i="62"/>
  <c r="C211" i="62" s="1"/>
  <c r="C212" i="62" s="1"/>
  <c r="F213" i="62"/>
  <c r="E213" i="62"/>
  <c r="D213" i="62"/>
  <c r="F203" i="62"/>
  <c r="E203" i="62"/>
  <c r="E186" i="62" s="1"/>
  <c r="D203" i="62"/>
  <c r="C203" i="62"/>
  <c r="F188" i="62"/>
  <c r="E188" i="62"/>
  <c r="D188" i="62"/>
  <c r="F173" i="62"/>
  <c r="F158" i="62" s="1"/>
  <c r="E173" i="62"/>
  <c r="E158" i="62" s="1"/>
  <c r="D173" i="62"/>
  <c r="C173" i="62"/>
  <c r="F160" i="62"/>
  <c r="E160" i="62"/>
  <c r="D160" i="62"/>
  <c r="C158" i="62"/>
  <c r="C159" i="62" s="1"/>
  <c r="F150" i="62"/>
  <c r="F135" i="62" s="1"/>
  <c r="E150" i="62"/>
  <c r="D150" i="62"/>
  <c r="D135" i="62" s="1"/>
  <c r="D136" i="62" s="1"/>
  <c r="C150" i="62"/>
  <c r="C135" i="62" s="1"/>
  <c r="F137" i="62"/>
  <c r="E137" i="62"/>
  <c r="D137" i="62"/>
  <c r="F127" i="62"/>
  <c r="E127" i="62"/>
  <c r="E110" i="62" s="1"/>
  <c r="E111" i="62" s="1"/>
  <c r="D127" i="62"/>
  <c r="D110" i="62" s="1"/>
  <c r="D111" i="62" s="1"/>
  <c r="C127" i="62"/>
  <c r="C110" i="62" s="1"/>
  <c r="C111" i="62" s="1"/>
  <c r="F112" i="62"/>
  <c r="E112" i="62"/>
  <c r="D112" i="62"/>
  <c r="F97" i="62"/>
  <c r="F82" i="62" s="1"/>
  <c r="F83" i="62" s="1"/>
  <c r="E97" i="62"/>
  <c r="E82" i="62" s="1"/>
  <c r="E83" i="62" s="1"/>
  <c r="D97" i="62"/>
  <c r="D82" i="62" s="1"/>
  <c r="C97" i="62"/>
  <c r="F84" i="62"/>
  <c r="E84" i="62"/>
  <c r="D84" i="62"/>
  <c r="F74" i="62"/>
  <c r="E74" i="62"/>
  <c r="E57" i="62" s="1"/>
  <c r="D74" i="62"/>
  <c r="C74" i="62"/>
  <c r="F59" i="62"/>
  <c r="E59" i="62"/>
  <c r="D59" i="62"/>
  <c r="C57" i="62"/>
  <c r="C58" i="62" s="1"/>
  <c r="F42" i="62"/>
  <c r="F27" i="62" s="1"/>
  <c r="E42" i="62"/>
  <c r="D42" i="62"/>
  <c r="C42" i="62"/>
  <c r="F29" i="62"/>
  <c r="E29" i="62"/>
  <c r="D29" i="62"/>
  <c r="C27" i="62"/>
  <c r="F293" i="61"/>
  <c r="E293" i="61"/>
  <c r="D293" i="61"/>
  <c r="C293" i="61"/>
  <c r="F291" i="61"/>
  <c r="E291" i="61"/>
  <c r="D291" i="61"/>
  <c r="C291" i="61"/>
  <c r="F289" i="61"/>
  <c r="E289" i="61"/>
  <c r="D289" i="61"/>
  <c r="C289" i="61"/>
  <c r="F287" i="61"/>
  <c r="E287" i="61"/>
  <c r="D287" i="61"/>
  <c r="C287" i="61"/>
  <c r="F285" i="61"/>
  <c r="E285" i="61"/>
  <c r="E286" i="61" s="1"/>
  <c r="D285" i="61"/>
  <c r="C285" i="61"/>
  <c r="F283" i="61"/>
  <c r="E283" i="61"/>
  <c r="E284" i="61" s="1"/>
  <c r="D283" i="61"/>
  <c r="D281" i="61" s="1"/>
  <c r="C283" i="61"/>
  <c r="F280" i="61"/>
  <c r="E280" i="61"/>
  <c r="D280" i="61"/>
  <c r="C280" i="61"/>
  <c r="F275" i="61"/>
  <c r="E275" i="61"/>
  <c r="D275" i="61"/>
  <c r="C275" i="61"/>
  <c r="F268" i="61"/>
  <c r="E268" i="61"/>
  <c r="D268" i="61"/>
  <c r="F267" i="61"/>
  <c r="E267" i="61"/>
  <c r="D267" i="61"/>
  <c r="F266" i="61"/>
  <c r="E266" i="61"/>
  <c r="D266" i="61"/>
  <c r="C266" i="61"/>
  <c r="D269" i="61" s="1"/>
  <c r="F254" i="61"/>
  <c r="E254" i="61"/>
  <c r="D254" i="61"/>
  <c r="C254" i="61"/>
  <c r="F247" i="61"/>
  <c r="E247" i="61"/>
  <c r="D247" i="61"/>
  <c r="F246" i="61"/>
  <c r="E246" i="61"/>
  <c r="D246" i="61"/>
  <c r="F245" i="61"/>
  <c r="E245" i="61"/>
  <c r="D245" i="61"/>
  <c r="C245" i="61"/>
  <c r="F233" i="61"/>
  <c r="E233" i="61"/>
  <c r="D233" i="61"/>
  <c r="C233" i="61"/>
  <c r="F226" i="61"/>
  <c r="E226" i="61"/>
  <c r="D226" i="61"/>
  <c r="F225" i="61"/>
  <c r="E225" i="61"/>
  <c r="D225" i="61"/>
  <c r="F224" i="61"/>
  <c r="E224" i="61"/>
  <c r="D224" i="61"/>
  <c r="C224" i="61"/>
  <c r="F209" i="61"/>
  <c r="E209" i="61"/>
  <c r="D209" i="61"/>
  <c r="C209" i="61"/>
  <c r="F202" i="61"/>
  <c r="E202" i="61"/>
  <c r="D202" i="61"/>
  <c r="F201" i="61"/>
  <c r="E201" i="61"/>
  <c r="D201" i="61"/>
  <c r="F200" i="61"/>
  <c r="E200" i="61"/>
  <c r="D200" i="61"/>
  <c r="C200" i="61"/>
  <c r="F188" i="61"/>
  <c r="E188" i="61"/>
  <c r="D188" i="61"/>
  <c r="C188" i="61"/>
  <c r="F181" i="61"/>
  <c r="E181" i="61"/>
  <c r="D181" i="61"/>
  <c r="F180" i="61"/>
  <c r="E180" i="61"/>
  <c r="D180" i="61"/>
  <c r="F179" i="61"/>
  <c r="E179" i="61"/>
  <c r="D179" i="61"/>
  <c r="C179" i="61"/>
  <c r="F167" i="61"/>
  <c r="E167" i="61"/>
  <c r="D167" i="61"/>
  <c r="C167" i="61"/>
  <c r="F160" i="61"/>
  <c r="E160" i="61"/>
  <c r="D160" i="61"/>
  <c r="F159" i="61"/>
  <c r="E159" i="61"/>
  <c r="D159" i="61"/>
  <c r="F158" i="61"/>
  <c r="E158" i="61"/>
  <c r="D158" i="61"/>
  <c r="D161" i="61" s="1"/>
  <c r="C158" i="61"/>
  <c r="F142" i="61"/>
  <c r="F146" i="61" s="1"/>
  <c r="E142" i="61"/>
  <c r="E146" i="61" s="1"/>
  <c r="D142" i="61"/>
  <c r="D146" i="61" s="1"/>
  <c r="C142" i="61"/>
  <c r="C146" i="61" s="1"/>
  <c r="F125" i="61"/>
  <c r="E125" i="61"/>
  <c r="D125" i="61"/>
  <c r="F124" i="61"/>
  <c r="E124" i="61"/>
  <c r="D124" i="61"/>
  <c r="F123" i="61"/>
  <c r="E123" i="61"/>
  <c r="D123" i="61"/>
  <c r="C123" i="61"/>
  <c r="F111" i="61"/>
  <c r="F115" i="61" s="1"/>
  <c r="E111" i="61"/>
  <c r="E115" i="61" s="1"/>
  <c r="D111" i="61"/>
  <c r="D115" i="61" s="1"/>
  <c r="C111" i="61"/>
  <c r="C115" i="61" s="1"/>
  <c r="F94" i="61"/>
  <c r="E94" i="61"/>
  <c r="D94" i="61"/>
  <c r="F93" i="61"/>
  <c r="E93" i="61"/>
  <c r="D93" i="61"/>
  <c r="F92" i="61"/>
  <c r="E92" i="61"/>
  <c r="D92" i="61"/>
  <c r="C92" i="61"/>
  <c r="F80" i="61"/>
  <c r="F84" i="61" s="1"/>
  <c r="E80" i="61"/>
  <c r="E84" i="61" s="1"/>
  <c r="D80" i="61"/>
  <c r="D84" i="61" s="1"/>
  <c r="C80" i="61"/>
  <c r="C84" i="61" s="1"/>
  <c r="F63" i="61"/>
  <c r="E63" i="61"/>
  <c r="D63" i="61"/>
  <c r="F62" i="61"/>
  <c r="E62" i="61"/>
  <c r="D62" i="61"/>
  <c r="F61" i="61"/>
  <c r="E61" i="61"/>
  <c r="D61" i="61"/>
  <c r="C61" i="61"/>
  <c r="F49" i="61"/>
  <c r="F53" i="61" s="1"/>
  <c r="E49" i="61"/>
  <c r="E53" i="61" s="1"/>
  <c r="D49" i="61"/>
  <c r="D53" i="61" s="1"/>
  <c r="C49" i="61"/>
  <c r="C53" i="61" s="1"/>
  <c r="F32" i="61"/>
  <c r="E32" i="61"/>
  <c r="D32" i="61"/>
  <c r="F31" i="61"/>
  <c r="E31" i="61"/>
  <c r="D31" i="61"/>
  <c r="F30" i="61"/>
  <c r="E30" i="61"/>
  <c r="D30" i="61"/>
  <c r="C30" i="61"/>
  <c r="D33" i="61" s="1"/>
  <c r="F228" i="60"/>
  <c r="E228" i="60"/>
  <c r="E229" i="60" s="1"/>
  <c r="D228" i="60"/>
  <c r="C228" i="60"/>
  <c r="D229" i="60" s="1"/>
  <c r="F226" i="60"/>
  <c r="E226" i="60"/>
  <c r="E227" i="60" s="1"/>
  <c r="D226" i="60"/>
  <c r="C226" i="60"/>
  <c r="D227" i="60" s="1"/>
  <c r="F224" i="60"/>
  <c r="E224" i="60"/>
  <c r="F225" i="60" s="1"/>
  <c r="D224" i="60"/>
  <c r="C224" i="60"/>
  <c r="F222" i="60"/>
  <c r="E222" i="60"/>
  <c r="F223" i="60" s="1"/>
  <c r="D222" i="60"/>
  <c r="C222" i="60"/>
  <c r="F220" i="60"/>
  <c r="E220" i="60"/>
  <c r="D220" i="60"/>
  <c r="C220" i="60"/>
  <c r="D221" i="60" s="1"/>
  <c r="F218" i="60"/>
  <c r="E218" i="60"/>
  <c r="D218" i="60"/>
  <c r="C218" i="60"/>
  <c r="D219" i="60" s="1"/>
  <c r="F216" i="60"/>
  <c r="E216" i="60"/>
  <c r="F217" i="60" s="1"/>
  <c r="D216" i="60"/>
  <c r="C216" i="60"/>
  <c r="F214" i="60"/>
  <c r="E214" i="60"/>
  <c r="F215" i="60" s="1"/>
  <c r="D214" i="60"/>
  <c r="C214" i="60"/>
  <c r="F212" i="60"/>
  <c r="E212" i="60"/>
  <c r="D212" i="60"/>
  <c r="D210" i="60" s="1"/>
  <c r="C212" i="60"/>
  <c r="F210" i="60"/>
  <c r="F203" i="60"/>
  <c r="F207" i="60" s="1"/>
  <c r="E203" i="60"/>
  <c r="E207" i="60" s="1"/>
  <c r="D203" i="60"/>
  <c r="D207" i="60" s="1"/>
  <c r="C203" i="60"/>
  <c r="C207" i="60" s="1"/>
  <c r="F171" i="60"/>
  <c r="E171" i="60"/>
  <c r="D171" i="60"/>
  <c r="F170" i="60"/>
  <c r="E170" i="60"/>
  <c r="D170" i="60"/>
  <c r="F169" i="60"/>
  <c r="E169" i="60"/>
  <c r="D169" i="60"/>
  <c r="C169" i="60"/>
  <c r="F156" i="60"/>
  <c r="E156" i="60"/>
  <c r="D156" i="60"/>
  <c r="C156" i="60"/>
  <c r="C160" i="60" s="1"/>
  <c r="F121" i="60"/>
  <c r="E121" i="60"/>
  <c r="D121" i="60"/>
  <c r="C120" i="60"/>
  <c r="F119" i="60"/>
  <c r="F120" i="60" s="1"/>
  <c r="E119" i="60"/>
  <c r="E120" i="60" s="1"/>
  <c r="D119" i="60"/>
  <c r="F108" i="60"/>
  <c r="F112" i="60" s="1"/>
  <c r="E108" i="60"/>
  <c r="E112" i="60" s="1"/>
  <c r="D108" i="60"/>
  <c r="D112" i="60" s="1"/>
  <c r="C108" i="60"/>
  <c r="C73" i="60" s="1"/>
  <c r="F76" i="60"/>
  <c r="E76" i="60"/>
  <c r="F75" i="60"/>
  <c r="E75" i="60"/>
  <c r="D75" i="60"/>
  <c r="F74" i="60"/>
  <c r="E74" i="60"/>
  <c r="D74" i="60"/>
  <c r="F62" i="60"/>
  <c r="E62" i="60"/>
  <c r="D62" i="60"/>
  <c r="C62" i="60"/>
  <c r="F29" i="60"/>
  <c r="E29" i="60"/>
  <c r="D29" i="60"/>
  <c r="C27" i="60"/>
  <c r="C28" i="60" s="1"/>
  <c r="F202" i="59"/>
  <c r="E202" i="59"/>
  <c r="D202" i="59"/>
  <c r="C202" i="59"/>
  <c r="B202" i="59"/>
  <c r="F201" i="59"/>
  <c r="E201" i="59"/>
  <c r="D201" i="59"/>
  <c r="C201" i="59"/>
  <c r="B201" i="59"/>
  <c r="F200" i="59"/>
  <c r="E200" i="59"/>
  <c r="D200" i="59"/>
  <c r="C200" i="59"/>
  <c r="B200" i="59"/>
  <c r="F199" i="59"/>
  <c r="E199" i="59"/>
  <c r="D199" i="59"/>
  <c r="C199" i="59"/>
  <c r="B199" i="59"/>
  <c r="F198" i="59"/>
  <c r="E198" i="59"/>
  <c r="D198" i="59"/>
  <c r="C198" i="59"/>
  <c r="B198" i="59"/>
  <c r="F197" i="59"/>
  <c r="E197" i="59"/>
  <c r="D197" i="59"/>
  <c r="C197" i="59"/>
  <c r="B197" i="59"/>
  <c r="F196" i="59"/>
  <c r="E196" i="59"/>
  <c r="D196" i="59"/>
  <c r="C196" i="59"/>
  <c r="B196" i="59"/>
  <c r="F195" i="59"/>
  <c r="E195" i="59"/>
  <c r="D195" i="59"/>
  <c r="C195" i="59"/>
  <c r="B195" i="59"/>
  <c r="F194" i="59"/>
  <c r="E194" i="59"/>
  <c r="D194" i="59"/>
  <c r="C194" i="59"/>
  <c r="B194" i="59"/>
  <c r="F193" i="59"/>
  <c r="E193" i="59"/>
  <c r="D193" i="59"/>
  <c r="C193" i="59"/>
  <c r="B193" i="59"/>
  <c r="F192" i="59"/>
  <c r="E192" i="59"/>
  <c r="D192" i="59"/>
  <c r="C192" i="59"/>
  <c r="B192" i="59"/>
  <c r="F191" i="59"/>
  <c r="E191" i="59"/>
  <c r="D191" i="59"/>
  <c r="C191" i="59"/>
  <c r="B191" i="59"/>
  <c r="F190" i="59"/>
  <c r="E190" i="59"/>
  <c r="D190" i="59"/>
  <c r="C190" i="59"/>
  <c r="B190" i="59"/>
  <c r="F189" i="59"/>
  <c r="E189" i="59"/>
  <c r="D189" i="59"/>
  <c r="C189" i="59"/>
  <c r="B189" i="59"/>
  <c r="F188" i="59"/>
  <c r="E188" i="59"/>
  <c r="D188" i="59"/>
  <c r="C188" i="59"/>
  <c r="B188" i="59"/>
  <c r="F187" i="59"/>
  <c r="E187" i="59"/>
  <c r="D187" i="59"/>
  <c r="C187" i="59"/>
  <c r="B187" i="59"/>
  <c r="F186" i="59"/>
  <c r="E186" i="59"/>
  <c r="D186" i="59"/>
  <c r="C186" i="59"/>
  <c r="B186" i="59"/>
  <c r="F185" i="59"/>
  <c r="E185" i="59"/>
  <c r="D185" i="59"/>
  <c r="C185" i="59"/>
  <c r="B185" i="59"/>
  <c r="F184" i="59"/>
  <c r="E184" i="59"/>
  <c r="D184" i="59"/>
  <c r="C184" i="59"/>
  <c r="B184" i="59"/>
  <c r="F183" i="59"/>
  <c r="E183" i="59"/>
  <c r="D183" i="59"/>
  <c r="C183" i="59"/>
  <c r="B183" i="59"/>
  <c r="F182" i="59"/>
  <c r="E182" i="59"/>
  <c r="D182" i="59"/>
  <c r="C182" i="59"/>
  <c r="B182" i="59"/>
  <c r="F181" i="59"/>
  <c r="E181" i="59"/>
  <c r="D181" i="59"/>
  <c r="C181" i="59"/>
  <c r="B181" i="59"/>
  <c r="B180" i="59"/>
  <c r="F179" i="59"/>
  <c r="E179" i="59"/>
  <c r="D179" i="59"/>
  <c r="C179" i="59"/>
  <c r="B179" i="59"/>
  <c r="F178" i="59"/>
  <c r="E178" i="59"/>
  <c r="D178" i="59"/>
  <c r="C178" i="59"/>
  <c r="B178" i="59"/>
  <c r="F177" i="59"/>
  <c r="E177" i="59"/>
  <c r="D177" i="59"/>
  <c r="C177" i="59"/>
  <c r="B177" i="59"/>
  <c r="F176" i="59"/>
  <c r="E176" i="59"/>
  <c r="D176" i="59"/>
  <c r="C176" i="59"/>
  <c r="B176" i="59"/>
  <c r="F175" i="59"/>
  <c r="E175" i="59"/>
  <c r="D175" i="59"/>
  <c r="C175" i="59"/>
  <c r="B175" i="59"/>
  <c r="F174" i="59"/>
  <c r="E174" i="59"/>
  <c r="D174" i="59"/>
  <c r="C174" i="59"/>
  <c r="F173" i="59"/>
  <c r="E173" i="59"/>
  <c r="D173" i="59"/>
  <c r="C173" i="59"/>
  <c r="B173" i="59"/>
  <c r="B172" i="59"/>
  <c r="F171" i="59"/>
  <c r="E171" i="59"/>
  <c r="D171" i="59"/>
  <c r="C171" i="59"/>
  <c r="B171" i="59"/>
  <c r="F170" i="59"/>
  <c r="E170" i="59"/>
  <c r="D170" i="59"/>
  <c r="C170" i="59"/>
  <c r="B170" i="59"/>
  <c r="F169" i="59"/>
  <c r="E169" i="59"/>
  <c r="D169" i="59"/>
  <c r="C169" i="59"/>
  <c r="B169" i="59"/>
  <c r="F168" i="59"/>
  <c r="E168" i="59"/>
  <c r="D168" i="59"/>
  <c r="C168" i="59"/>
  <c r="B168" i="59"/>
  <c r="F167" i="59"/>
  <c r="E167" i="59"/>
  <c r="D167" i="59"/>
  <c r="C167" i="59"/>
  <c r="B167" i="59"/>
  <c r="F166" i="59"/>
  <c r="E166" i="59"/>
  <c r="D166" i="59"/>
  <c r="C166" i="59"/>
  <c r="B166" i="59"/>
  <c r="F165" i="59"/>
  <c r="E165" i="59"/>
  <c r="D165" i="59"/>
  <c r="C165" i="59"/>
  <c r="F164" i="59"/>
  <c r="E164" i="59"/>
  <c r="D164" i="59"/>
  <c r="C164" i="59"/>
  <c r="B164" i="59"/>
  <c r="C163" i="59"/>
  <c r="B163" i="59"/>
  <c r="C162" i="59"/>
  <c r="B162" i="59"/>
  <c r="C161" i="59"/>
  <c r="B161" i="59"/>
  <c r="C160" i="59"/>
  <c r="B160" i="59"/>
  <c r="B159" i="59"/>
  <c r="B158" i="59"/>
  <c r="F157" i="59"/>
  <c r="E157" i="59"/>
  <c r="D157" i="59"/>
  <c r="C157" i="59"/>
  <c r="B157" i="59"/>
  <c r="F156" i="59"/>
  <c r="E156" i="59"/>
  <c r="D156" i="59"/>
  <c r="C156" i="59"/>
  <c r="B156" i="59"/>
  <c r="F155" i="59"/>
  <c r="E155" i="59"/>
  <c r="D155" i="59"/>
  <c r="C155" i="59"/>
  <c r="B155" i="59"/>
  <c r="F154" i="59"/>
  <c r="E154" i="59"/>
  <c r="D154" i="59"/>
  <c r="C154" i="59"/>
  <c r="F153" i="59"/>
  <c r="E153" i="59"/>
  <c r="D153" i="59"/>
  <c r="C153" i="59"/>
  <c r="B153" i="59"/>
  <c r="B152" i="59"/>
  <c r="F151" i="59"/>
  <c r="E151" i="59"/>
  <c r="D151" i="59"/>
  <c r="C151" i="59"/>
  <c r="B151" i="59"/>
  <c r="F150" i="59"/>
  <c r="E150" i="59"/>
  <c r="D150" i="59"/>
  <c r="C150" i="59"/>
  <c r="B150" i="59"/>
  <c r="F149" i="59"/>
  <c r="E149" i="59"/>
  <c r="D149" i="59"/>
  <c r="C149" i="59"/>
  <c r="B149" i="59"/>
  <c r="F148" i="59"/>
  <c r="E148" i="59"/>
  <c r="D148" i="59"/>
  <c r="C148" i="59"/>
  <c r="B148" i="59"/>
  <c r="F147" i="59"/>
  <c r="E147" i="59"/>
  <c r="D147" i="59"/>
  <c r="C147" i="59"/>
  <c r="B147" i="59"/>
  <c r="F146" i="59"/>
  <c r="E146" i="59"/>
  <c r="D146" i="59"/>
  <c r="C146" i="59"/>
  <c r="B146" i="59"/>
  <c r="F145" i="59"/>
  <c r="E145" i="59"/>
  <c r="D145" i="59"/>
  <c r="C145" i="59"/>
  <c r="F144" i="59"/>
  <c r="E144" i="59"/>
  <c r="D144" i="59"/>
  <c r="C144" i="59"/>
  <c r="B144" i="59"/>
  <c r="C143" i="59"/>
  <c r="B143" i="59"/>
  <c r="C142" i="59"/>
  <c r="B142" i="59"/>
  <c r="C141" i="59"/>
  <c r="B141" i="59"/>
  <c r="C140" i="59"/>
  <c r="B140" i="59"/>
  <c r="C137" i="59"/>
  <c r="B137" i="59"/>
  <c r="F136" i="59"/>
  <c r="E136" i="59"/>
  <c r="D136" i="59"/>
  <c r="C136" i="59"/>
  <c r="B136" i="59"/>
  <c r="F135" i="59"/>
  <c r="E135" i="59"/>
  <c r="D135" i="59"/>
  <c r="C135" i="59"/>
  <c r="B135" i="59"/>
  <c r="F134" i="59"/>
  <c r="E134" i="59"/>
  <c r="D134" i="59"/>
  <c r="C134" i="59"/>
  <c r="B134" i="59"/>
  <c r="F133" i="59"/>
  <c r="E133" i="59"/>
  <c r="D133" i="59"/>
  <c r="C133" i="59"/>
  <c r="F132" i="59"/>
  <c r="E132" i="59"/>
  <c r="D132" i="59"/>
  <c r="C132" i="59"/>
  <c r="B132" i="59"/>
  <c r="B131" i="59"/>
  <c r="F130" i="59"/>
  <c r="E130" i="59"/>
  <c r="D130" i="59"/>
  <c r="C130" i="59"/>
  <c r="B130" i="59"/>
  <c r="F129" i="59"/>
  <c r="E129" i="59"/>
  <c r="D129" i="59"/>
  <c r="C129" i="59"/>
  <c r="B129" i="59"/>
  <c r="F128" i="59"/>
  <c r="E128" i="59"/>
  <c r="D128" i="59"/>
  <c r="C128" i="59"/>
  <c r="B128" i="59"/>
  <c r="F127" i="59"/>
  <c r="E127" i="59"/>
  <c r="D127" i="59"/>
  <c r="C127" i="59"/>
  <c r="B127" i="59"/>
  <c r="F126" i="59"/>
  <c r="E126" i="59"/>
  <c r="D126" i="59"/>
  <c r="C126" i="59"/>
  <c r="B126" i="59"/>
  <c r="F125" i="59"/>
  <c r="E125" i="59"/>
  <c r="D125" i="59"/>
  <c r="C125" i="59"/>
  <c r="B125" i="59"/>
  <c r="F124" i="59"/>
  <c r="E124" i="59"/>
  <c r="D124" i="59"/>
  <c r="C124" i="59"/>
  <c r="F123" i="59"/>
  <c r="E123" i="59"/>
  <c r="D123" i="59"/>
  <c r="C123" i="59"/>
  <c r="B123" i="59"/>
  <c r="C122" i="59"/>
  <c r="B122" i="59"/>
  <c r="C121" i="59"/>
  <c r="B121" i="59"/>
  <c r="C120" i="59"/>
  <c r="B120" i="59"/>
  <c r="C119" i="59"/>
  <c r="B119" i="59"/>
  <c r="B118" i="59"/>
  <c r="B117" i="59"/>
  <c r="F116" i="59"/>
  <c r="E116" i="59"/>
  <c r="D116" i="59"/>
  <c r="C116" i="59"/>
  <c r="B116" i="59"/>
  <c r="F115" i="59"/>
  <c r="E115" i="59"/>
  <c r="D115" i="59"/>
  <c r="C115" i="59"/>
  <c r="B115" i="59"/>
  <c r="F114" i="59"/>
  <c r="E114" i="59"/>
  <c r="D114" i="59"/>
  <c r="C114" i="59"/>
  <c r="B114" i="59"/>
  <c r="F113" i="59"/>
  <c r="E113" i="59"/>
  <c r="D113" i="59"/>
  <c r="C113" i="59"/>
  <c r="B113" i="59"/>
  <c r="F112" i="59"/>
  <c r="E112" i="59"/>
  <c r="D112" i="59"/>
  <c r="C112" i="59"/>
  <c r="B112" i="59"/>
  <c r="F111" i="59"/>
  <c r="E111" i="59"/>
  <c r="D111" i="59"/>
  <c r="C111" i="59"/>
  <c r="B111" i="59"/>
  <c r="F110" i="59"/>
  <c r="E110" i="59"/>
  <c r="D110" i="59"/>
  <c r="C110" i="59"/>
  <c r="B110" i="59"/>
  <c r="F109" i="59"/>
  <c r="E109" i="59"/>
  <c r="D109" i="59"/>
  <c r="C109" i="59"/>
  <c r="B109" i="59"/>
  <c r="F108" i="59"/>
  <c r="E108" i="59"/>
  <c r="D108" i="59"/>
  <c r="C108" i="59"/>
  <c r="B108" i="59"/>
  <c r="F107" i="59"/>
  <c r="E107" i="59"/>
  <c r="D107" i="59"/>
  <c r="C107" i="59"/>
  <c r="B107" i="59"/>
  <c r="F106" i="59"/>
  <c r="E106" i="59"/>
  <c r="D106" i="59"/>
  <c r="C106" i="59"/>
  <c r="F105" i="59"/>
  <c r="E105" i="59"/>
  <c r="D105" i="59"/>
  <c r="C105" i="59"/>
  <c r="B105" i="59"/>
  <c r="B104" i="59"/>
  <c r="F103" i="59"/>
  <c r="E103" i="59"/>
  <c r="D103" i="59"/>
  <c r="C103" i="59"/>
  <c r="B103" i="59"/>
  <c r="F102" i="59"/>
  <c r="E102" i="59"/>
  <c r="D102" i="59"/>
  <c r="C102" i="59"/>
  <c r="B102" i="59"/>
  <c r="F101" i="59"/>
  <c r="E101" i="59"/>
  <c r="D101" i="59"/>
  <c r="C101" i="59"/>
  <c r="B101" i="59"/>
  <c r="F100" i="59"/>
  <c r="E100" i="59"/>
  <c r="D100" i="59"/>
  <c r="C100" i="59"/>
  <c r="B100" i="59"/>
  <c r="F99" i="59"/>
  <c r="E99" i="59"/>
  <c r="D99" i="59"/>
  <c r="C99" i="59"/>
  <c r="B99" i="59"/>
  <c r="F98" i="59"/>
  <c r="E98" i="59"/>
  <c r="D98" i="59"/>
  <c r="C98" i="59"/>
  <c r="F97" i="59"/>
  <c r="E97" i="59"/>
  <c r="D97" i="59"/>
  <c r="C97" i="59"/>
  <c r="B97" i="59"/>
  <c r="F96" i="59"/>
  <c r="E96" i="59"/>
  <c r="D96" i="59"/>
  <c r="C96" i="59"/>
  <c r="B96" i="59"/>
  <c r="C95" i="59"/>
  <c r="B95" i="59"/>
  <c r="C94" i="59"/>
  <c r="B94" i="59"/>
  <c r="C93" i="59"/>
  <c r="B93" i="59"/>
  <c r="F92" i="59"/>
  <c r="E92" i="59"/>
  <c r="D92" i="59"/>
  <c r="C92" i="59"/>
  <c r="B92" i="59"/>
  <c r="F91" i="59"/>
  <c r="E91" i="59"/>
  <c r="D91" i="59"/>
  <c r="C91" i="59"/>
  <c r="B91" i="59"/>
  <c r="F90" i="59"/>
  <c r="E90" i="59"/>
  <c r="D90" i="59"/>
  <c r="C90" i="59"/>
  <c r="B90" i="59"/>
  <c r="F89" i="59"/>
  <c r="E89" i="59"/>
  <c r="D89" i="59"/>
  <c r="C89" i="59"/>
  <c r="B89" i="59"/>
  <c r="F88" i="59"/>
  <c r="E88" i="59"/>
  <c r="D88" i="59"/>
  <c r="C88" i="59"/>
  <c r="B88" i="59"/>
  <c r="F87" i="59"/>
  <c r="E87" i="59"/>
  <c r="D87" i="59"/>
  <c r="C87" i="59"/>
  <c r="B87" i="59"/>
  <c r="F86" i="59"/>
  <c r="E86" i="59"/>
  <c r="D86" i="59"/>
  <c r="C86" i="59"/>
  <c r="B86" i="59"/>
  <c r="F85" i="59"/>
  <c r="E85" i="59"/>
  <c r="D85" i="59"/>
  <c r="C85" i="59"/>
  <c r="B85" i="59"/>
  <c r="F84" i="59"/>
  <c r="E84" i="59"/>
  <c r="D84" i="59"/>
  <c r="C84" i="59"/>
  <c r="B84" i="59"/>
  <c r="F83" i="59"/>
  <c r="E83" i="59"/>
  <c r="D83" i="59"/>
  <c r="C83" i="59"/>
  <c r="F82" i="59"/>
  <c r="E82" i="59"/>
  <c r="D82" i="59"/>
  <c r="C82" i="59"/>
  <c r="B82" i="59"/>
  <c r="B81" i="59"/>
  <c r="F80" i="59"/>
  <c r="E80" i="59"/>
  <c r="D80" i="59"/>
  <c r="C80" i="59"/>
  <c r="B80" i="59"/>
  <c r="F79" i="59"/>
  <c r="E79" i="59"/>
  <c r="D79" i="59"/>
  <c r="C79" i="59"/>
  <c r="B79" i="59"/>
  <c r="F78" i="59"/>
  <c r="E78" i="59"/>
  <c r="D78" i="59"/>
  <c r="C78" i="59"/>
  <c r="B78" i="59"/>
  <c r="F77" i="59"/>
  <c r="E77" i="59"/>
  <c r="D77" i="59"/>
  <c r="C77" i="59"/>
  <c r="B77" i="59"/>
  <c r="F76" i="59"/>
  <c r="E76" i="59"/>
  <c r="D76" i="59"/>
  <c r="C76" i="59"/>
  <c r="B76" i="59"/>
  <c r="F75" i="59"/>
  <c r="E75" i="59"/>
  <c r="D75" i="59"/>
  <c r="C75" i="59"/>
  <c r="F74" i="59"/>
  <c r="E74" i="59"/>
  <c r="D74" i="59"/>
  <c r="C74" i="59"/>
  <c r="B74" i="59"/>
  <c r="F73" i="59"/>
  <c r="E73" i="59"/>
  <c r="D73" i="59"/>
  <c r="C73" i="59"/>
  <c r="B73" i="59"/>
  <c r="C72" i="59"/>
  <c r="B72" i="59"/>
  <c r="C71" i="59"/>
  <c r="B71" i="59"/>
  <c r="C70" i="59"/>
  <c r="B70" i="59"/>
  <c r="F69" i="59"/>
  <c r="E69" i="59"/>
  <c r="D69" i="59"/>
  <c r="C69" i="59"/>
  <c r="B69" i="59"/>
  <c r="F68" i="59"/>
  <c r="E68" i="59"/>
  <c r="D68" i="59"/>
  <c r="C68" i="59"/>
  <c r="B68" i="59"/>
  <c r="F67" i="59"/>
  <c r="E67" i="59"/>
  <c r="D67" i="59"/>
  <c r="C67" i="59"/>
  <c r="B67" i="59"/>
  <c r="F66" i="59"/>
  <c r="E66" i="59"/>
  <c r="D66" i="59"/>
  <c r="C66" i="59"/>
  <c r="B66" i="59"/>
  <c r="F65" i="59"/>
  <c r="E65" i="59"/>
  <c r="D65" i="59"/>
  <c r="C65" i="59"/>
  <c r="B65" i="59"/>
  <c r="F64" i="59"/>
  <c r="E64" i="59"/>
  <c r="D64" i="59"/>
  <c r="C64" i="59"/>
  <c r="B64" i="59"/>
  <c r="F63" i="59"/>
  <c r="E63" i="59"/>
  <c r="D63" i="59"/>
  <c r="C63" i="59"/>
  <c r="B63" i="59"/>
  <c r="F62" i="59"/>
  <c r="E62" i="59"/>
  <c r="D62" i="59"/>
  <c r="C62" i="59"/>
  <c r="B62" i="59"/>
  <c r="F61" i="59"/>
  <c r="E61" i="59"/>
  <c r="D61" i="59"/>
  <c r="C61" i="59"/>
  <c r="B61" i="59"/>
  <c r="F60" i="59"/>
  <c r="E60" i="59"/>
  <c r="D60" i="59"/>
  <c r="C60" i="59"/>
  <c r="F59" i="59"/>
  <c r="E59" i="59"/>
  <c r="D59" i="59"/>
  <c r="C59" i="59"/>
  <c r="B59" i="59"/>
  <c r="B58" i="59"/>
  <c r="F57" i="59"/>
  <c r="E57" i="59"/>
  <c r="D57" i="59"/>
  <c r="C57" i="59"/>
  <c r="B57" i="59"/>
  <c r="F56" i="59"/>
  <c r="E56" i="59"/>
  <c r="D56" i="59"/>
  <c r="C56" i="59"/>
  <c r="B56" i="59"/>
  <c r="F55" i="59"/>
  <c r="E55" i="59"/>
  <c r="D55" i="59"/>
  <c r="C55" i="59"/>
  <c r="B55" i="59"/>
  <c r="F54" i="59"/>
  <c r="E54" i="59"/>
  <c r="D54" i="59"/>
  <c r="C54" i="59"/>
  <c r="B54" i="59"/>
  <c r="F53" i="59"/>
  <c r="E53" i="59"/>
  <c r="D53" i="59"/>
  <c r="C53" i="59"/>
  <c r="B53" i="59"/>
  <c r="F52" i="59"/>
  <c r="E52" i="59"/>
  <c r="D52" i="59"/>
  <c r="C52" i="59"/>
  <c r="F51" i="59"/>
  <c r="E51" i="59"/>
  <c r="D51" i="59"/>
  <c r="C51" i="59"/>
  <c r="B51" i="59"/>
  <c r="F50" i="59"/>
  <c r="E50" i="59"/>
  <c r="D50" i="59"/>
  <c r="C50" i="59"/>
  <c r="B50" i="59"/>
  <c r="C49" i="59"/>
  <c r="B49" i="59"/>
  <c r="C48" i="59"/>
  <c r="B48" i="59"/>
  <c r="C47" i="59"/>
  <c r="B47" i="59"/>
  <c r="F46" i="59"/>
  <c r="E46" i="59"/>
  <c r="D46" i="59"/>
  <c r="C46" i="59"/>
  <c r="B46" i="59"/>
  <c r="F45" i="59"/>
  <c r="E45" i="59"/>
  <c r="D45" i="59"/>
  <c r="C45" i="59"/>
  <c r="B45" i="59"/>
  <c r="F44" i="59"/>
  <c r="E44" i="59"/>
  <c r="D44" i="59"/>
  <c r="C44" i="59"/>
  <c r="B44" i="59"/>
  <c r="F43" i="59"/>
  <c r="E43" i="59"/>
  <c r="D43" i="59"/>
  <c r="C43" i="59"/>
  <c r="B43" i="59"/>
  <c r="F42" i="59"/>
  <c r="E42" i="59"/>
  <c r="D42" i="59"/>
  <c r="C42" i="59"/>
  <c r="B42" i="59"/>
  <c r="F41" i="59"/>
  <c r="E41" i="59"/>
  <c r="D41" i="59"/>
  <c r="C41" i="59"/>
  <c r="B41" i="59"/>
  <c r="F40" i="59"/>
  <c r="E40" i="59"/>
  <c r="D40" i="59"/>
  <c r="C40" i="59"/>
  <c r="B40" i="59"/>
  <c r="F39" i="59"/>
  <c r="E39" i="59"/>
  <c r="D39" i="59"/>
  <c r="C39" i="59"/>
  <c r="B39" i="59"/>
  <c r="F38" i="59"/>
  <c r="E38" i="59"/>
  <c r="D38" i="59"/>
  <c r="C38" i="59"/>
  <c r="B38" i="59"/>
  <c r="F37" i="59"/>
  <c r="E37" i="59"/>
  <c r="D37" i="59"/>
  <c r="C37" i="59"/>
  <c r="F36" i="59"/>
  <c r="E36" i="59"/>
  <c r="D36" i="59"/>
  <c r="C36" i="59"/>
  <c r="B36" i="59"/>
  <c r="B35" i="59"/>
  <c r="F34" i="59"/>
  <c r="E34" i="59"/>
  <c r="D34" i="59"/>
  <c r="C34" i="59"/>
  <c r="B34" i="59"/>
  <c r="F33" i="59"/>
  <c r="E33" i="59"/>
  <c r="D33" i="59"/>
  <c r="C33" i="59"/>
  <c r="B33" i="59"/>
  <c r="F32" i="59"/>
  <c r="E32" i="59"/>
  <c r="D32" i="59"/>
  <c r="C32" i="59"/>
  <c r="B32" i="59"/>
  <c r="F31" i="59"/>
  <c r="E31" i="59"/>
  <c r="D31" i="59"/>
  <c r="C31" i="59"/>
  <c r="B31" i="59"/>
  <c r="F30" i="59"/>
  <c r="E30" i="59"/>
  <c r="D30" i="59"/>
  <c r="C30" i="59"/>
  <c r="B30" i="59"/>
  <c r="F29" i="59"/>
  <c r="E29" i="59"/>
  <c r="D29" i="59"/>
  <c r="C29" i="59"/>
  <c r="B29" i="59"/>
  <c r="F28" i="59"/>
  <c r="E28" i="59"/>
  <c r="D28" i="59"/>
  <c r="C28" i="59"/>
  <c r="F27" i="59"/>
  <c r="E27" i="59"/>
  <c r="D27" i="59"/>
  <c r="C27" i="59"/>
  <c r="B27" i="59"/>
  <c r="C26" i="59"/>
  <c r="B26" i="59"/>
  <c r="C25" i="59"/>
  <c r="B25" i="59"/>
  <c r="C24" i="59"/>
  <c r="B24" i="59"/>
  <c r="B23" i="59"/>
  <c r="B22" i="59"/>
  <c r="F21" i="59"/>
  <c r="E21" i="59"/>
  <c r="D21" i="59"/>
  <c r="C21" i="59"/>
  <c r="B21" i="59"/>
  <c r="F20" i="59"/>
  <c r="E20" i="59"/>
  <c r="D20" i="59"/>
  <c r="C20" i="59"/>
  <c r="B20" i="59"/>
  <c r="F19" i="59"/>
  <c r="E19" i="59"/>
  <c r="D19" i="59"/>
  <c r="C19" i="59"/>
  <c r="B19" i="59"/>
  <c r="F18" i="59"/>
  <c r="E18" i="59"/>
  <c r="D18" i="59"/>
  <c r="C18" i="59"/>
  <c r="B18" i="59"/>
  <c r="B17" i="59"/>
  <c r="C16" i="59"/>
  <c r="B16" i="59"/>
  <c r="F15" i="59"/>
  <c r="E15" i="59"/>
  <c r="D15" i="59"/>
  <c r="C15" i="59"/>
  <c r="B15" i="59"/>
  <c r="F14" i="59"/>
  <c r="E14" i="59"/>
  <c r="D14" i="59"/>
  <c r="C14" i="59"/>
  <c r="B14" i="59"/>
  <c r="F13" i="59"/>
  <c r="E13" i="59"/>
  <c r="D13" i="59"/>
  <c r="C13" i="59"/>
  <c r="F12" i="59"/>
  <c r="E12" i="59"/>
  <c r="D12" i="59"/>
  <c r="C12" i="59"/>
  <c r="B12" i="59"/>
  <c r="C11" i="59"/>
  <c r="B11" i="59"/>
  <c r="B9" i="59"/>
  <c r="B8" i="59"/>
  <c r="C7" i="59"/>
  <c r="B7" i="59"/>
  <c r="C6" i="59"/>
  <c r="B6" i="59"/>
  <c r="C5" i="59"/>
  <c r="B5" i="59"/>
  <c r="B3" i="59"/>
  <c r="F154" i="58"/>
  <c r="E154" i="58"/>
  <c r="D154" i="58"/>
  <c r="C154" i="58"/>
  <c r="F146" i="58"/>
  <c r="E146" i="58"/>
  <c r="D146" i="58"/>
  <c r="C146" i="58"/>
  <c r="F129" i="58"/>
  <c r="E129" i="58"/>
  <c r="D129" i="58"/>
  <c r="C129" i="58"/>
  <c r="F122" i="58"/>
  <c r="E122" i="58"/>
  <c r="D122" i="58"/>
  <c r="F121" i="58"/>
  <c r="E121" i="58"/>
  <c r="D121" i="58"/>
  <c r="F120" i="58"/>
  <c r="E120" i="58"/>
  <c r="D120" i="58"/>
  <c r="C120" i="58"/>
  <c r="F107" i="58"/>
  <c r="F108" i="58" s="1"/>
  <c r="E107" i="58"/>
  <c r="E108" i="58" s="1"/>
  <c r="D107" i="58"/>
  <c r="D175" i="58" s="1"/>
  <c r="C107" i="58"/>
  <c r="C108" i="58" s="1"/>
  <c r="F100" i="58"/>
  <c r="E100" i="58"/>
  <c r="D100" i="58"/>
  <c r="F98" i="58"/>
  <c r="E98" i="58"/>
  <c r="D98" i="58"/>
  <c r="D99" i="58" s="1"/>
  <c r="C98" i="58"/>
  <c r="C99" i="58" s="1"/>
  <c r="F81" i="58"/>
  <c r="E81" i="58"/>
  <c r="F82" i="58" s="1"/>
  <c r="D81" i="58"/>
  <c r="E82" i="58" s="1"/>
  <c r="C81" i="58"/>
  <c r="F78" i="58"/>
  <c r="E78" i="58"/>
  <c r="E171" i="58" s="1"/>
  <c r="D78" i="58"/>
  <c r="E80" i="58" s="1"/>
  <c r="C78" i="58"/>
  <c r="D79" i="58" s="1"/>
  <c r="F75" i="58"/>
  <c r="E75" i="58"/>
  <c r="F77" i="58" s="1"/>
  <c r="D75" i="58"/>
  <c r="C75" i="58"/>
  <c r="F72" i="58"/>
  <c r="E72" i="58"/>
  <c r="F73" i="58" s="1"/>
  <c r="D72" i="58"/>
  <c r="C72" i="58"/>
  <c r="D73" i="58" s="1"/>
  <c r="F69" i="58"/>
  <c r="E69" i="58"/>
  <c r="F70" i="58" s="1"/>
  <c r="D69" i="58"/>
  <c r="E70" i="58" s="1"/>
  <c r="C69" i="58"/>
  <c r="F63" i="58"/>
  <c r="E63" i="58"/>
  <c r="D63" i="58"/>
  <c r="E62" i="58"/>
  <c r="F61" i="58"/>
  <c r="F62" i="58" s="1"/>
  <c r="D61" i="58"/>
  <c r="C61" i="58"/>
  <c r="C62" i="58" s="1"/>
  <c r="F49" i="58"/>
  <c r="F48" i="58"/>
  <c r="F47" i="58"/>
  <c r="D47" i="58"/>
  <c r="E49" i="58" s="1"/>
  <c r="C47" i="58"/>
  <c r="D48" i="58" s="1"/>
  <c r="F46" i="58"/>
  <c r="F45" i="58"/>
  <c r="F44" i="58"/>
  <c r="D44" i="58"/>
  <c r="E45" i="58" s="1"/>
  <c r="C44" i="58"/>
  <c r="D46" i="58" s="1"/>
  <c r="F41" i="58"/>
  <c r="E41" i="58"/>
  <c r="D41" i="58"/>
  <c r="E42" i="58" s="1"/>
  <c r="E43" i="58" s="1"/>
  <c r="C41" i="58"/>
  <c r="D42" i="58" s="1"/>
  <c r="D43" i="58" s="1"/>
  <c r="F38" i="58"/>
  <c r="E38" i="58"/>
  <c r="F39" i="58" s="1"/>
  <c r="D38" i="58"/>
  <c r="E40" i="58" s="1"/>
  <c r="C38" i="58"/>
  <c r="D39" i="58" s="1"/>
  <c r="F35" i="58"/>
  <c r="E35" i="58"/>
  <c r="F36" i="58" s="1"/>
  <c r="D35" i="58"/>
  <c r="E36" i="58" s="1"/>
  <c r="C35" i="58"/>
  <c r="D36" i="58" s="1"/>
  <c r="F29" i="58"/>
  <c r="E29" i="58"/>
  <c r="D29" i="58"/>
  <c r="F27" i="58"/>
  <c r="F28" i="58" s="1"/>
  <c r="C27" i="58"/>
  <c r="C4" i="58"/>
  <c r="F123" i="57"/>
  <c r="E123" i="57"/>
  <c r="D123" i="57"/>
  <c r="C123" i="57"/>
  <c r="F121" i="57"/>
  <c r="E121" i="57"/>
  <c r="D121" i="57"/>
  <c r="C121" i="57"/>
  <c r="F119" i="57"/>
  <c r="E119" i="57"/>
  <c r="D119" i="57"/>
  <c r="C119" i="57"/>
  <c r="F117" i="57"/>
  <c r="F118" i="57" s="1"/>
  <c r="E117" i="57"/>
  <c r="D117" i="57"/>
  <c r="E118" i="57" s="1"/>
  <c r="C117" i="57"/>
  <c r="F115" i="57"/>
  <c r="F116" i="57" s="1"/>
  <c r="E115" i="57"/>
  <c r="D115" i="57"/>
  <c r="E116" i="57" s="1"/>
  <c r="C115" i="57"/>
  <c r="F113" i="57"/>
  <c r="F114" i="57" s="1"/>
  <c r="E113" i="57"/>
  <c r="D113" i="57"/>
  <c r="C113" i="57"/>
  <c r="F111" i="57"/>
  <c r="E111" i="57"/>
  <c r="D111" i="57"/>
  <c r="D112" i="57" s="1"/>
  <c r="C111" i="57"/>
  <c r="F109" i="57"/>
  <c r="E109" i="57"/>
  <c r="D109" i="57"/>
  <c r="C109" i="57"/>
  <c r="F107" i="57"/>
  <c r="E107" i="57"/>
  <c r="D107" i="57"/>
  <c r="C107" i="57"/>
  <c r="F104" i="57"/>
  <c r="E104" i="57"/>
  <c r="D104" i="57"/>
  <c r="C104" i="57"/>
  <c r="F102" i="57"/>
  <c r="E102" i="57"/>
  <c r="D102" i="57"/>
  <c r="C102" i="57"/>
  <c r="F95" i="57"/>
  <c r="E95" i="57"/>
  <c r="D95" i="57"/>
  <c r="F94" i="57"/>
  <c r="E94" i="57"/>
  <c r="D94" i="57"/>
  <c r="F93" i="57"/>
  <c r="E93" i="57"/>
  <c r="D93" i="57"/>
  <c r="C93" i="57"/>
  <c r="F82" i="57"/>
  <c r="E82" i="57"/>
  <c r="D82" i="57"/>
  <c r="C82" i="57"/>
  <c r="F75" i="57"/>
  <c r="E75" i="57"/>
  <c r="D75" i="57"/>
  <c r="F74" i="57"/>
  <c r="E74" i="57"/>
  <c r="D74" i="57"/>
  <c r="F73" i="57"/>
  <c r="E73" i="57"/>
  <c r="D73" i="57"/>
  <c r="D76" i="57" s="1"/>
  <c r="F64" i="57"/>
  <c r="E64" i="57"/>
  <c r="D64" i="57"/>
  <c r="C64" i="57"/>
  <c r="F57" i="57"/>
  <c r="E57" i="57"/>
  <c r="D57" i="57"/>
  <c r="F56" i="57"/>
  <c r="E56" i="57"/>
  <c r="D56" i="57"/>
  <c r="F55" i="57"/>
  <c r="E55" i="57"/>
  <c r="D55" i="57"/>
  <c r="C55" i="57"/>
  <c r="F43" i="57"/>
  <c r="F44" i="57" s="1"/>
  <c r="E43" i="57"/>
  <c r="E44" i="57" s="1"/>
  <c r="D43" i="57"/>
  <c r="D44" i="57" s="1"/>
  <c r="C43" i="57"/>
  <c r="C44" i="57" s="1"/>
  <c r="F31" i="57"/>
  <c r="E31" i="57"/>
  <c r="D31" i="57"/>
  <c r="F30" i="57"/>
  <c r="E30" i="57"/>
  <c r="D30" i="57"/>
  <c r="F29" i="57"/>
  <c r="E29" i="57"/>
  <c r="D29" i="57"/>
  <c r="C29" i="57"/>
  <c r="D32" i="57" s="1"/>
  <c r="F89" i="56"/>
  <c r="E89" i="56"/>
  <c r="D89" i="56"/>
  <c r="C89" i="56"/>
  <c r="F82" i="56"/>
  <c r="E82" i="56"/>
  <c r="D82" i="56"/>
  <c r="F81" i="56"/>
  <c r="E81" i="56"/>
  <c r="D81" i="56"/>
  <c r="F80" i="56"/>
  <c r="E80" i="56"/>
  <c r="D80" i="56"/>
  <c r="C80" i="56"/>
  <c r="F68" i="56"/>
  <c r="E68" i="56"/>
  <c r="D68" i="56"/>
  <c r="C68" i="56"/>
  <c r="F61" i="56"/>
  <c r="E61" i="56"/>
  <c r="D61" i="56"/>
  <c r="F60" i="56"/>
  <c r="E60" i="56"/>
  <c r="D60" i="56"/>
  <c r="F59" i="56"/>
  <c r="E59" i="56"/>
  <c r="F62" i="56" s="1"/>
  <c r="D59" i="56"/>
  <c r="C59" i="56"/>
  <c r="F45" i="56"/>
  <c r="E45" i="56"/>
  <c r="D45" i="56"/>
  <c r="C45" i="56"/>
  <c r="F33" i="56"/>
  <c r="E33" i="56"/>
  <c r="D33" i="56"/>
  <c r="F32" i="56"/>
  <c r="E32" i="56"/>
  <c r="D32" i="56"/>
  <c r="F31" i="56"/>
  <c r="E31" i="56"/>
  <c r="D31" i="56"/>
  <c r="C31" i="56"/>
  <c r="G297" i="55"/>
  <c r="F297" i="55"/>
  <c r="G298" i="55" s="1"/>
  <c r="E297" i="55"/>
  <c r="D297" i="55"/>
  <c r="G295" i="55"/>
  <c r="F295" i="55"/>
  <c r="E295" i="55"/>
  <c r="E296" i="55" s="1"/>
  <c r="D295" i="55"/>
  <c r="G293" i="55"/>
  <c r="F293" i="55"/>
  <c r="G294" i="55" s="1"/>
  <c r="E293" i="55"/>
  <c r="F294" i="55" s="1"/>
  <c r="D293" i="55"/>
  <c r="G291" i="55"/>
  <c r="G292" i="55" s="1"/>
  <c r="F291" i="55"/>
  <c r="E291" i="55"/>
  <c r="F292" i="55" s="1"/>
  <c r="D291" i="55"/>
  <c r="E292" i="55" s="1"/>
  <c r="G289" i="55"/>
  <c r="F289" i="55"/>
  <c r="E289" i="55"/>
  <c r="D289" i="55"/>
  <c r="E290" i="55" s="1"/>
  <c r="G287" i="55"/>
  <c r="F287" i="55"/>
  <c r="G288" i="55" s="1"/>
  <c r="E287" i="55"/>
  <c r="F288" i="55" s="1"/>
  <c r="D287" i="55"/>
  <c r="G285" i="55"/>
  <c r="F285" i="55"/>
  <c r="G286" i="55" s="1"/>
  <c r="E285" i="55"/>
  <c r="F286" i="55" s="1"/>
  <c r="D285" i="55"/>
  <c r="E286" i="55" s="1"/>
  <c r="G283" i="55"/>
  <c r="F283" i="55"/>
  <c r="E283" i="55"/>
  <c r="F284" i="55" s="1"/>
  <c r="D283" i="55"/>
  <c r="E284" i="55" s="1"/>
  <c r="G281" i="55"/>
  <c r="G279" i="55" s="1"/>
  <c r="F281" i="55"/>
  <c r="F279" i="55" s="1"/>
  <c r="E281" i="55"/>
  <c r="D281" i="55"/>
  <c r="D279" i="55" s="1"/>
  <c r="E279" i="55"/>
  <c r="G276" i="55"/>
  <c r="F276" i="55"/>
  <c r="E276" i="55"/>
  <c r="D276" i="55"/>
  <c r="G269" i="55"/>
  <c r="F269" i="55"/>
  <c r="E269" i="55"/>
  <c r="G268" i="55"/>
  <c r="F268" i="55"/>
  <c r="E268" i="55"/>
  <c r="G267" i="55"/>
  <c r="F267" i="55"/>
  <c r="F270" i="55" s="1"/>
  <c r="E267" i="55"/>
  <c r="E270" i="55" s="1"/>
  <c r="D267" i="55"/>
  <c r="G258" i="55"/>
  <c r="F258" i="55"/>
  <c r="E258" i="55"/>
  <c r="D258" i="55"/>
  <c r="G251" i="55"/>
  <c r="F251" i="55"/>
  <c r="E251" i="55"/>
  <c r="G250" i="55"/>
  <c r="F250" i="55"/>
  <c r="E250" i="55"/>
  <c r="G249" i="55"/>
  <c r="G252" i="55" s="1"/>
  <c r="F249" i="55"/>
  <c r="F252" i="55" s="1"/>
  <c r="E249" i="55"/>
  <c r="E252" i="55" s="1"/>
  <c r="D249" i="55"/>
  <c r="G238" i="55"/>
  <c r="F238" i="55"/>
  <c r="E238" i="55"/>
  <c r="D238" i="55"/>
  <c r="G231" i="55"/>
  <c r="F231" i="55"/>
  <c r="E231" i="55"/>
  <c r="G230" i="55"/>
  <c r="F230" i="55"/>
  <c r="E230" i="55"/>
  <c r="G229" i="55"/>
  <c r="G232" i="55" s="1"/>
  <c r="F229" i="55"/>
  <c r="F232" i="55" s="1"/>
  <c r="E229" i="55"/>
  <c r="D229" i="55"/>
  <c r="G220" i="55"/>
  <c r="F220" i="55"/>
  <c r="E220" i="55"/>
  <c r="D220" i="55"/>
  <c r="G213" i="55"/>
  <c r="F213" i="55"/>
  <c r="E213" i="55"/>
  <c r="G212" i="55"/>
  <c r="F212" i="55"/>
  <c r="E212" i="55"/>
  <c r="G211" i="55"/>
  <c r="F211" i="55"/>
  <c r="F214" i="55" s="1"/>
  <c r="E211" i="55"/>
  <c r="D211" i="55"/>
  <c r="G199" i="55"/>
  <c r="G200" i="55" s="1"/>
  <c r="F199" i="55"/>
  <c r="F200" i="55" s="1"/>
  <c r="E199" i="55"/>
  <c r="E200" i="55" s="1"/>
  <c r="D199" i="55"/>
  <c r="D200" i="55" s="1"/>
  <c r="G187" i="55"/>
  <c r="F187" i="55"/>
  <c r="E187" i="55"/>
  <c r="G186" i="55"/>
  <c r="F186" i="55"/>
  <c r="E186" i="55"/>
  <c r="G185" i="55"/>
  <c r="G188" i="55" s="1"/>
  <c r="F185" i="55"/>
  <c r="E185" i="55"/>
  <c r="E188" i="55" s="1"/>
  <c r="D185" i="55"/>
  <c r="G176" i="55"/>
  <c r="G177" i="55" s="1"/>
  <c r="F176" i="55"/>
  <c r="F177" i="55" s="1"/>
  <c r="E176" i="55"/>
  <c r="E177" i="55" s="1"/>
  <c r="D176" i="55"/>
  <c r="D177" i="55" s="1"/>
  <c r="G162" i="55"/>
  <c r="F162" i="55"/>
  <c r="E162" i="55"/>
  <c r="G161" i="55"/>
  <c r="F161" i="55"/>
  <c r="E161" i="55"/>
  <c r="G160" i="55"/>
  <c r="F160" i="55"/>
  <c r="F163" i="55" s="1"/>
  <c r="E160" i="55"/>
  <c r="D160" i="55"/>
  <c r="G143" i="55"/>
  <c r="F143" i="55"/>
  <c r="E143" i="55"/>
  <c r="D143" i="55"/>
  <c r="G137" i="55"/>
  <c r="F137" i="55"/>
  <c r="E137" i="55"/>
  <c r="G136" i="55"/>
  <c r="F136" i="55"/>
  <c r="E136" i="55"/>
  <c r="G135" i="55"/>
  <c r="G138" i="55" s="1"/>
  <c r="F135" i="55"/>
  <c r="E135" i="55"/>
  <c r="D135" i="55"/>
  <c r="G126" i="55"/>
  <c r="F126" i="55"/>
  <c r="E126" i="55"/>
  <c r="D126" i="55"/>
  <c r="E119" i="55"/>
  <c r="E118" i="55"/>
  <c r="D117" i="55"/>
  <c r="E120" i="55" s="1"/>
  <c r="G106" i="55"/>
  <c r="F106" i="55"/>
  <c r="E106" i="55"/>
  <c r="D106" i="55"/>
  <c r="G99" i="55"/>
  <c r="F99" i="55"/>
  <c r="E99" i="55"/>
  <c r="G98" i="55"/>
  <c r="F98" i="55"/>
  <c r="E98" i="55"/>
  <c r="G97" i="55"/>
  <c r="F97" i="55"/>
  <c r="E97" i="55"/>
  <c r="D97" i="55"/>
  <c r="G85" i="55"/>
  <c r="E85" i="55"/>
  <c r="D85" i="55"/>
  <c r="F78" i="55"/>
  <c r="E78" i="55"/>
  <c r="F77" i="55"/>
  <c r="E77" i="55"/>
  <c r="E76" i="55"/>
  <c r="F79" i="55" s="1"/>
  <c r="D76" i="55"/>
  <c r="G64" i="55"/>
  <c r="F64" i="55"/>
  <c r="E64" i="55"/>
  <c r="D64" i="55"/>
  <c r="G51" i="55"/>
  <c r="F51" i="55"/>
  <c r="E51" i="55"/>
  <c r="G49" i="55"/>
  <c r="G278" i="55" s="1"/>
  <c r="F49" i="55"/>
  <c r="F65" i="55" s="1"/>
  <c r="E49" i="55"/>
  <c r="E50" i="55" s="1"/>
  <c r="D49" i="55"/>
  <c r="D278" i="55" s="1"/>
  <c r="G41" i="55"/>
  <c r="G42" i="55" s="1"/>
  <c r="F41" i="55"/>
  <c r="F42" i="55" s="1"/>
  <c r="E41" i="55"/>
  <c r="E42" i="55" s="1"/>
  <c r="D41" i="55"/>
  <c r="D42" i="55" s="1"/>
  <c r="G29" i="55"/>
  <c r="F29" i="55"/>
  <c r="E29" i="55"/>
  <c r="G28" i="55"/>
  <c r="F28" i="55"/>
  <c r="E28" i="55"/>
  <c r="G27" i="55"/>
  <c r="F27" i="55"/>
  <c r="E27" i="55"/>
  <c r="E30" i="55" s="1"/>
  <c r="D27" i="55"/>
  <c r="G30" i="55" l="1"/>
  <c r="D65" i="55"/>
  <c r="E100" i="55"/>
  <c r="G100" i="55"/>
  <c r="F138" i="55"/>
  <c r="E163" i="55"/>
  <c r="G163" i="55"/>
  <c r="F188" i="55"/>
  <c r="E214" i="55"/>
  <c r="G214" i="55"/>
  <c r="E232" i="55"/>
  <c r="G270" i="55"/>
  <c r="G284" i="55"/>
  <c r="G290" i="55"/>
  <c r="E298" i="55"/>
  <c r="E77" i="60"/>
  <c r="E172" i="60"/>
  <c r="F95" i="61"/>
  <c r="D182" i="61"/>
  <c r="D203" i="61"/>
  <c r="F227" i="61"/>
  <c r="D206" i="65"/>
  <c r="F30" i="55"/>
  <c r="G52" i="55"/>
  <c r="E65" i="55"/>
  <c r="G65" i="55"/>
  <c r="F100" i="55"/>
  <c r="E138" i="55"/>
  <c r="D299" i="55"/>
  <c r="F290" i="55"/>
  <c r="E34" i="56"/>
  <c r="E32" i="57"/>
  <c r="F123" i="58"/>
  <c r="E219" i="60"/>
  <c r="E269" i="61"/>
  <c r="E292" i="61"/>
  <c r="E294" i="61"/>
  <c r="D34" i="64"/>
  <c r="F74" i="64"/>
  <c r="D161" i="64"/>
  <c r="F182" i="64"/>
  <c r="D211" i="64"/>
  <c r="D296" i="64"/>
  <c r="F317" i="64"/>
  <c r="D340" i="64"/>
  <c r="F361" i="64"/>
  <c r="D386" i="64"/>
  <c r="E226" i="65"/>
  <c r="D83" i="66"/>
  <c r="D103" i="66"/>
  <c r="D136" i="66"/>
  <c r="D138" i="66"/>
  <c r="E106" i="68"/>
  <c r="E195" i="68"/>
  <c r="D221" i="68"/>
  <c r="F239" i="68"/>
  <c r="E105" i="69"/>
  <c r="F220" i="69"/>
  <c r="E276" i="69"/>
  <c r="F290" i="69"/>
  <c r="E294" i="69"/>
  <c r="F298" i="69"/>
  <c r="E302" i="69"/>
  <c r="E304" i="69"/>
  <c r="E149" i="70"/>
  <c r="F194" i="70"/>
  <c r="F217" i="70"/>
  <c r="D238" i="70"/>
  <c r="D371" i="70"/>
  <c r="D483" i="70"/>
  <c r="E48" i="58"/>
  <c r="D64" i="58"/>
  <c r="D167" i="58"/>
  <c r="F165" i="58"/>
  <c r="C173" i="58"/>
  <c r="C165" i="58"/>
  <c r="F71" i="58"/>
  <c r="F169" i="58"/>
  <c r="F37" i="58"/>
  <c r="C169" i="58"/>
  <c r="D77" i="58"/>
  <c r="F34" i="56"/>
  <c r="D62" i="56"/>
  <c r="E58" i="69"/>
  <c r="F84" i="69"/>
  <c r="D194" i="69"/>
  <c r="E238" i="69"/>
  <c r="F258" i="69"/>
  <c r="D169" i="69"/>
  <c r="E194" i="69"/>
  <c r="D220" i="69"/>
  <c r="D294" i="69"/>
  <c r="D298" i="69"/>
  <c r="D302" i="69"/>
  <c r="E169" i="69"/>
  <c r="E85" i="68"/>
  <c r="E170" i="68"/>
  <c r="E277" i="68"/>
  <c r="E36" i="68"/>
  <c r="F59" i="68"/>
  <c r="D126" i="68"/>
  <c r="F259" i="68"/>
  <c r="F176" i="70"/>
  <c r="F180" i="70" s="1"/>
  <c r="D324" i="70"/>
  <c r="E479" i="70"/>
  <c r="D487" i="70"/>
  <c r="F97" i="70"/>
  <c r="D194" i="70"/>
  <c r="D284" i="70"/>
  <c r="E416" i="70"/>
  <c r="D479" i="70"/>
  <c r="D33" i="70"/>
  <c r="E76" i="70"/>
  <c r="E472" i="70"/>
  <c r="F473" i="70" s="1"/>
  <c r="E194" i="70"/>
  <c r="F238" i="70"/>
  <c r="F416" i="70"/>
  <c r="D36" i="66"/>
  <c r="F103" i="66"/>
  <c r="F138" i="66"/>
  <c r="F83" i="66"/>
  <c r="C133" i="66"/>
  <c r="C153" i="66" s="1"/>
  <c r="F41" i="65"/>
  <c r="F137" i="65"/>
  <c r="E158" i="65"/>
  <c r="D214" i="65"/>
  <c r="F158" i="65"/>
  <c r="E62" i="65"/>
  <c r="E161" i="64"/>
  <c r="E296" i="64"/>
  <c r="E340" i="64"/>
  <c r="F34" i="64"/>
  <c r="F117" i="64"/>
  <c r="D138" i="64"/>
  <c r="F211" i="64"/>
  <c r="D253" i="64"/>
  <c r="F340" i="64"/>
  <c r="D361" i="64"/>
  <c r="E376" i="64"/>
  <c r="E378" i="64"/>
  <c r="E382" i="64"/>
  <c r="E384" i="64"/>
  <c r="E386" i="64"/>
  <c r="E390" i="64"/>
  <c r="E392" i="64"/>
  <c r="D114" i="62"/>
  <c r="E64" i="61"/>
  <c r="E126" i="61"/>
  <c r="E248" i="61"/>
  <c r="D95" i="61"/>
  <c r="F126" i="61"/>
  <c r="E182" i="61"/>
  <c r="F203" i="61"/>
  <c r="E288" i="61"/>
  <c r="E33" i="61"/>
  <c r="D64" i="61"/>
  <c r="E161" i="61"/>
  <c r="E227" i="61"/>
  <c r="D248" i="61"/>
  <c r="F105" i="57"/>
  <c r="F125" i="57" s="1"/>
  <c r="D58" i="57"/>
  <c r="E96" i="57"/>
  <c r="D122" i="57"/>
  <c r="F58" i="57"/>
  <c r="E76" i="57"/>
  <c r="E105" i="57"/>
  <c r="F120" i="57"/>
  <c r="E122" i="57"/>
  <c r="C176" i="70"/>
  <c r="C180" i="70" s="1"/>
  <c r="D217" i="70"/>
  <c r="F259" i="70"/>
  <c r="C398" i="70"/>
  <c r="C402" i="70" s="1"/>
  <c r="E437" i="70"/>
  <c r="F437" i="70"/>
  <c r="F458" i="70"/>
  <c r="F477" i="70"/>
  <c r="D489" i="70"/>
  <c r="E33" i="70"/>
  <c r="F474" i="70"/>
  <c r="F76" i="70"/>
  <c r="F120" i="70"/>
  <c r="F149" i="70"/>
  <c r="D176" i="70"/>
  <c r="D180" i="70" s="1"/>
  <c r="E284" i="70"/>
  <c r="F284" i="70"/>
  <c r="F324" i="70"/>
  <c r="D398" i="70"/>
  <c r="D402" i="70" s="1"/>
  <c r="E487" i="70"/>
  <c r="E489" i="70"/>
  <c r="F398" i="70"/>
  <c r="F402" i="70" s="1"/>
  <c r="E176" i="70"/>
  <c r="E180" i="70" s="1"/>
  <c r="E259" i="70"/>
  <c r="E398" i="70"/>
  <c r="E402" i="70" s="1"/>
  <c r="D437" i="70"/>
  <c r="D458" i="70"/>
  <c r="D477" i="70"/>
  <c r="F483" i="70"/>
  <c r="F489" i="70"/>
  <c r="D473" i="70"/>
  <c r="E473" i="70"/>
  <c r="C474" i="70"/>
  <c r="C493" i="70" s="1"/>
  <c r="E477" i="70"/>
  <c r="F479" i="70"/>
  <c r="F487" i="70"/>
  <c r="E97" i="70"/>
  <c r="E120" i="70"/>
  <c r="D149" i="70"/>
  <c r="E238" i="70"/>
  <c r="D259" i="70"/>
  <c r="E371" i="70"/>
  <c r="D416" i="70"/>
  <c r="F470" i="70"/>
  <c r="D474" i="70"/>
  <c r="D475" i="70" s="1"/>
  <c r="E483" i="70"/>
  <c r="E474" i="70"/>
  <c r="E470" i="70" s="1"/>
  <c r="F58" i="70"/>
  <c r="F62" i="70" s="1"/>
  <c r="E84" i="69"/>
  <c r="F105" i="69"/>
  <c r="E143" i="69"/>
  <c r="D258" i="69"/>
  <c r="D276" i="69"/>
  <c r="D292" i="69"/>
  <c r="E296" i="69"/>
  <c r="D300" i="69"/>
  <c r="D304" i="69"/>
  <c r="C305" i="69"/>
  <c r="F169" i="69"/>
  <c r="D84" i="69"/>
  <c r="D105" i="69"/>
  <c r="F125" i="69"/>
  <c r="F143" i="69"/>
  <c r="E258" i="69"/>
  <c r="F276" i="69"/>
  <c r="F288" i="69"/>
  <c r="F292" i="69"/>
  <c r="F296" i="69"/>
  <c r="F300" i="69"/>
  <c r="F304" i="69"/>
  <c r="D286" i="69"/>
  <c r="D305" i="69"/>
  <c r="E286" i="69"/>
  <c r="D290" i="69"/>
  <c r="E292" i="69"/>
  <c r="F294" i="69"/>
  <c r="E300" i="69"/>
  <c r="F302" i="69"/>
  <c r="E35" i="69"/>
  <c r="D58" i="69"/>
  <c r="E125" i="69"/>
  <c r="D143" i="69"/>
  <c r="E220" i="69"/>
  <c r="D238" i="69"/>
  <c r="F285" i="69"/>
  <c r="D288" i="69"/>
  <c r="E290" i="69"/>
  <c r="D296" i="69"/>
  <c r="E298" i="69"/>
  <c r="E288" i="69"/>
  <c r="E305" i="69"/>
  <c r="C306" i="68"/>
  <c r="F36" i="68"/>
  <c r="D85" i="68"/>
  <c r="E144" i="68"/>
  <c r="F144" i="68"/>
  <c r="F195" i="68"/>
  <c r="F221" i="68"/>
  <c r="D259" i="68"/>
  <c r="D277" i="68"/>
  <c r="D289" i="68"/>
  <c r="D293" i="68"/>
  <c r="D295" i="68"/>
  <c r="D297" i="68"/>
  <c r="D301" i="68"/>
  <c r="D303" i="68"/>
  <c r="D305" i="68"/>
  <c r="D59" i="68"/>
  <c r="E126" i="68"/>
  <c r="D239" i="68"/>
  <c r="E289" i="68"/>
  <c r="E291" i="68"/>
  <c r="E295" i="68"/>
  <c r="E297" i="68"/>
  <c r="E299" i="68"/>
  <c r="E303" i="68"/>
  <c r="E305" i="68"/>
  <c r="E59" i="68"/>
  <c r="F106" i="68"/>
  <c r="F126" i="68"/>
  <c r="D170" i="68"/>
  <c r="E239" i="68"/>
  <c r="F277" i="68"/>
  <c r="E286" i="68"/>
  <c r="E306" i="68" s="1"/>
  <c r="F289" i="68"/>
  <c r="F291" i="68"/>
  <c r="F293" i="68"/>
  <c r="F297" i="68"/>
  <c r="F299" i="68"/>
  <c r="F301" i="68"/>
  <c r="F305" i="68"/>
  <c r="D291" i="68"/>
  <c r="E301" i="68"/>
  <c r="F303" i="68"/>
  <c r="F286" i="68"/>
  <c r="E293" i="68"/>
  <c r="F295" i="68"/>
  <c r="D121" i="66"/>
  <c r="E138" i="66"/>
  <c r="D140" i="66"/>
  <c r="E121" i="66"/>
  <c r="F136" i="66"/>
  <c r="E140" i="66"/>
  <c r="E36" i="66"/>
  <c r="E103" i="66"/>
  <c r="F121" i="66"/>
  <c r="F140" i="66"/>
  <c r="D133" i="66"/>
  <c r="E136" i="66"/>
  <c r="E133" i="66"/>
  <c r="F133" i="66"/>
  <c r="E32" i="65"/>
  <c r="F44" i="65"/>
  <c r="F62" i="65"/>
  <c r="F76" i="65"/>
  <c r="F172" i="65"/>
  <c r="E212" i="65"/>
  <c r="F32" i="65"/>
  <c r="C62" i="65"/>
  <c r="F126" i="65"/>
  <c r="E126" i="65"/>
  <c r="F210" i="65"/>
  <c r="F214" i="65"/>
  <c r="F226" i="65"/>
  <c r="F38" i="65"/>
  <c r="D62" i="65"/>
  <c r="F134" i="65"/>
  <c r="D158" i="65"/>
  <c r="E172" i="65"/>
  <c r="D212" i="65"/>
  <c r="C207" i="65"/>
  <c r="D208" i="65" s="1"/>
  <c r="D230" i="65"/>
  <c r="C206" i="65"/>
  <c r="C230" i="65" s="1"/>
  <c r="E210" i="65"/>
  <c r="F212" i="65"/>
  <c r="E30" i="65"/>
  <c r="E33" i="65" s="1"/>
  <c r="D38" i="65"/>
  <c r="D41" i="65"/>
  <c r="D44" i="65"/>
  <c r="E124" i="65"/>
  <c r="D134" i="65"/>
  <c r="D137" i="65"/>
  <c r="D140" i="65"/>
  <c r="E206" i="65"/>
  <c r="E207" i="65"/>
  <c r="E214" i="65"/>
  <c r="C30" i="65"/>
  <c r="D33" i="65" s="1"/>
  <c r="C124" i="65"/>
  <c r="D32" i="65"/>
  <c r="E38" i="65"/>
  <c r="E41" i="65"/>
  <c r="F124" i="65"/>
  <c r="D126" i="65"/>
  <c r="E134" i="65"/>
  <c r="E137" i="65"/>
  <c r="F206" i="65"/>
  <c r="F207" i="65"/>
  <c r="D210" i="65"/>
  <c r="C38" i="65"/>
  <c r="C41" i="65"/>
  <c r="D124" i="65"/>
  <c r="D127" i="65" s="1"/>
  <c r="C134" i="65"/>
  <c r="C137" i="65"/>
  <c r="E34" i="64"/>
  <c r="D117" i="64"/>
  <c r="E138" i="64"/>
  <c r="F161" i="64"/>
  <c r="D182" i="64"/>
  <c r="E253" i="64"/>
  <c r="F296" i="64"/>
  <c r="D317" i="64"/>
  <c r="D376" i="64"/>
  <c r="D380" i="64"/>
  <c r="D382" i="64"/>
  <c r="D384" i="64"/>
  <c r="D388" i="64"/>
  <c r="D390" i="64"/>
  <c r="D392" i="64"/>
  <c r="C396" i="64"/>
  <c r="D74" i="64"/>
  <c r="F138" i="64"/>
  <c r="F253" i="64"/>
  <c r="E388" i="64"/>
  <c r="F390" i="64"/>
  <c r="F373" i="64"/>
  <c r="D378" i="64"/>
  <c r="E380" i="64"/>
  <c r="F382" i="64"/>
  <c r="E396" i="64"/>
  <c r="D373" i="64"/>
  <c r="E114" i="62"/>
  <c r="F57" i="62"/>
  <c r="F58" i="62" s="1"/>
  <c r="F161" i="62"/>
  <c r="E317" i="62"/>
  <c r="D332" i="62"/>
  <c r="E334" i="62"/>
  <c r="D138" i="62"/>
  <c r="C136" i="62"/>
  <c r="D139" i="62" s="1"/>
  <c r="F290" i="62"/>
  <c r="F302" i="62"/>
  <c r="D334" i="62"/>
  <c r="F370" i="62"/>
  <c r="C75" i="62"/>
  <c r="E98" i="62"/>
  <c r="D151" i="62"/>
  <c r="C174" i="62"/>
  <c r="E174" i="62"/>
  <c r="E335" i="62"/>
  <c r="E388" i="62"/>
  <c r="F86" i="62"/>
  <c r="F98" i="62"/>
  <c r="E227" i="62"/>
  <c r="D250" i="62"/>
  <c r="F276" i="62"/>
  <c r="C332" i="62"/>
  <c r="D335" i="62" s="1"/>
  <c r="D406" i="62"/>
  <c r="E128" i="62"/>
  <c r="D237" i="62"/>
  <c r="D27" i="62"/>
  <c r="D28" i="62" s="1"/>
  <c r="D98" i="62"/>
  <c r="F186" i="62"/>
  <c r="F187" i="62" s="1"/>
  <c r="C276" i="62"/>
  <c r="E302" i="62"/>
  <c r="D317" i="62"/>
  <c r="F316" i="62"/>
  <c r="C227" i="62"/>
  <c r="F386" i="62"/>
  <c r="F389" i="62" s="1"/>
  <c r="F388" i="62"/>
  <c r="E406" i="62"/>
  <c r="E404" i="62"/>
  <c r="E407" i="62" s="1"/>
  <c r="C43" i="62"/>
  <c r="F43" i="62"/>
  <c r="F189" i="62"/>
  <c r="D434" i="62"/>
  <c r="D186" i="62"/>
  <c r="E189" i="62" s="1"/>
  <c r="E214" i="62"/>
  <c r="D214" i="62"/>
  <c r="D227" i="62"/>
  <c r="F317" i="62"/>
  <c r="F332" i="62"/>
  <c r="F335" i="62" s="1"/>
  <c r="F334" i="62"/>
  <c r="E350" i="62"/>
  <c r="E352" i="62"/>
  <c r="D368" i="62"/>
  <c r="D371" i="62" s="1"/>
  <c r="D370" i="62"/>
  <c r="F404" i="62"/>
  <c r="F406" i="62"/>
  <c r="E422" i="62"/>
  <c r="E58" i="62"/>
  <c r="F61" i="62" s="1"/>
  <c r="E261" i="62"/>
  <c r="E75" i="62"/>
  <c r="C128" i="62"/>
  <c r="F136" i="62"/>
  <c r="F159" i="62"/>
  <c r="E159" i="62"/>
  <c r="E204" i="62"/>
  <c r="E276" i="62"/>
  <c r="D302" i="62"/>
  <c r="F28" i="62"/>
  <c r="F234" i="62"/>
  <c r="F434" i="62"/>
  <c r="D350" i="62"/>
  <c r="D353" i="62" s="1"/>
  <c r="D352" i="62"/>
  <c r="C28" i="62"/>
  <c r="F60" i="62"/>
  <c r="F85" i="62"/>
  <c r="E85" i="62"/>
  <c r="D83" i="62"/>
  <c r="E86" i="62" s="1"/>
  <c r="E113" i="62"/>
  <c r="D113" i="62"/>
  <c r="D128" i="62"/>
  <c r="C151" i="62"/>
  <c r="F151" i="62"/>
  <c r="F174" i="62"/>
  <c r="E187" i="62"/>
  <c r="F190" i="62" s="1"/>
  <c r="D212" i="62"/>
  <c r="D215" i="62" s="1"/>
  <c r="C235" i="62"/>
  <c r="D238" i="62" s="1"/>
  <c r="F263" i="62"/>
  <c r="F289" i="62"/>
  <c r="E289" i="62"/>
  <c r="D287" i="62"/>
  <c r="E290" i="62" s="1"/>
  <c r="E316" i="62"/>
  <c r="D316" i="62"/>
  <c r="F425" i="62"/>
  <c r="E434" i="62"/>
  <c r="C250" i="62"/>
  <c r="E368" i="62"/>
  <c r="D386" i="62"/>
  <c r="D389" i="62" s="1"/>
  <c r="E27" i="62"/>
  <c r="E43" i="62" s="1"/>
  <c r="D57" i="62"/>
  <c r="C82" i="62"/>
  <c r="C83" i="62" s="1"/>
  <c r="F110" i="62"/>
  <c r="E135" i="62"/>
  <c r="F138" i="62" s="1"/>
  <c r="D158" i="62"/>
  <c r="C186" i="62"/>
  <c r="C187" i="62" s="1"/>
  <c r="F211" i="62"/>
  <c r="F227" i="62" s="1"/>
  <c r="E234" i="62"/>
  <c r="E433" i="62" s="1"/>
  <c r="D260" i="62"/>
  <c r="E263" i="62" s="1"/>
  <c r="C286" i="62"/>
  <c r="C287" i="62" s="1"/>
  <c r="F352" i="62"/>
  <c r="E370" i="62"/>
  <c r="D388" i="62"/>
  <c r="D421" i="62"/>
  <c r="F424" i="62"/>
  <c r="C404" i="62"/>
  <c r="D407" i="62" s="1"/>
  <c r="C281" i="61"/>
  <c r="C298" i="61" s="1"/>
  <c r="E95" i="61"/>
  <c r="F161" i="61"/>
  <c r="F182" i="61"/>
  <c r="D227" i="61"/>
  <c r="D284" i="61"/>
  <c r="D286" i="61"/>
  <c r="D290" i="61"/>
  <c r="D292" i="61"/>
  <c r="D294" i="61"/>
  <c r="F33" i="61"/>
  <c r="F64" i="61"/>
  <c r="D126" i="61"/>
  <c r="E203" i="61"/>
  <c r="F248" i="61"/>
  <c r="F269" i="61"/>
  <c r="F286" i="61"/>
  <c r="F288" i="61"/>
  <c r="F290" i="61"/>
  <c r="F294" i="61"/>
  <c r="D282" i="61"/>
  <c r="E290" i="61"/>
  <c r="F292" i="61"/>
  <c r="E281" i="61"/>
  <c r="D298" i="61"/>
  <c r="F284" i="61"/>
  <c r="D288" i="61"/>
  <c r="F281" i="61"/>
  <c r="E160" i="60"/>
  <c r="F172" i="60"/>
  <c r="D27" i="60"/>
  <c r="D28" i="60" s="1"/>
  <c r="D31" i="60" s="1"/>
  <c r="F27" i="60"/>
  <c r="F66" i="60" s="1"/>
  <c r="C66" i="60"/>
  <c r="D160" i="60"/>
  <c r="D172" i="60"/>
  <c r="E215" i="60"/>
  <c r="D217" i="60"/>
  <c r="E221" i="60"/>
  <c r="E223" i="60"/>
  <c r="D225" i="60"/>
  <c r="F77" i="60"/>
  <c r="F160" i="60"/>
  <c r="F213" i="60"/>
  <c r="F219" i="60"/>
  <c r="F221" i="60"/>
  <c r="F227" i="60"/>
  <c r="F229" i="60"/>
  <c r="D76" i="60"/>
  <c r="C209" i="60"/>
  <c r="C233" i="60" s="1"/>
  <c r="C74" i="60"/>
  <c r="D77" i="60" s="1"/>
  <c r="D211" i="60"/>
  <c r="F123" i="60"/>
  <c r="E27" i="60"/>
  <c r="F30" i="60" s="1"/>
  <c r="E122" i="60"/>
  <c r="E210" i="60"/>
  <c r="D215" i="60"/>
  <c r="E217" i="60"/>
  <c r="D223" i="60"/>
  <c r="E225" i="60"/>
  <c r="F28" i="60"/>
  <c r="D30" i="60"/>
  <c r="C112" i="60"/>
  <c r="D120" i="60"/>
  <c r="D123" i="60" s="1"/>
  <c r="F122" i="60"/>
  <c r="F209" i="60"/>
  <c r="F233" i="60" s="1"/>
  <c r="D213" i="60"/>
  <c r="E213" i="60"/>
  <c r="D122" i="60"/>
  <c r="E167" i="58"/>
  <c r="E168" i="58" s="1"/>
  <c r="D40" i="58"/>
  <c r="E50" i="58"/>
  <c r="E27" i="58" s="1"/>
  <c r="F65" i="58"/>
  <c r="F167" i="58"/>
  <c r="F168" i="58" s="1"/>
  <c r="D169" i="58"/>
  <c r="F171" i="58"/>
  <c r="F83" i="58"/>
  <c r="C171" i="58"/>
  <c r="D71" i="58"/>
  <c r="D83" i="58"/>
  <c r="C162" i="58"/>
  <c r="F40" i="58"/>
  <c r="F50" i="58"/>
  <c r="F54" i="58" s="1"/>
  <c r="D45" i="58"/>
  <c r="D74" i="58"/>
  <c r="E169" i="58"/>
  <c r="E170" i="58" s="1"/>
  <c r="D80" i="58"/>
  <c r="E123" i="58"/>
  <c r="D173" i="58"/>
  <c r="D174" i="58" s="1"/>
  <c r="D37" i="58"/>
  <c r="E64" i="58"/>
  <c r="F74" i="58"/>
  <c r="F80" i="58"/>
  <c r="F173" i="58"/>
  <c r="D165" i="58"/>
  <c r="E175" i="58"/>
  <c r="E176" i="58" s="1"/>
  <c r="D170" i="58"/>
  <c r="F172" i="58"/>
  <c r="F170" i="58"/>
  <c r="D102" i="58"/>
  <c r="D166" i="58"/>
  <c r="E39" i="58"/>
  <c r="E99" i="58"/>
  <c r="E102" i="58" s="1"/>
  <c r="D108" i="58"/>
  <c r="E37" i="58"/>
  <c r="C50" i="58"/>
  <c r="C54" i="58" s="1"/>
  <c r="D62" i="58"/>
  <c r="D65" i="58" s="1"/>
  <c r="F64" i="58"/>
  <c r="D70" i="58"/>
  <c r="E71" i="58"/>
  <c r="D76" i="58"/>
  <c r="E77" i="58"/>
  <c r="F79" i="58"/>
  <c r="D82" i="58"/>
  <c r="E83" i="58"/>
  <c r="E84" i="58"/>
  <c r="F99" i="58"/>
  <c r="F102" i="58" s="1"/>
  <c r="D101" i="58"/>
  <c r="D123" i="58"/>
  <c r="E165" i="58"/>
  <c r="D171" i="58"/>
  <c r="D172" i="58" s="1"/>
  <c r="E173" i="58"/>
  <c r="F175" i="58"/>
  <c r="E46" i="58"/>
  <c r="D49" i="58"/>
  <c r="D50" i="58"/>
  <c r="E76" i="58"/>
  <c r="F84" i="58"/>
  <c r="F88" i="58" s="1"/>
  <c r="E101" i="58"/>
  <c r="C167" i="58"/>
  <c r="C175" i="58"/>
  <c r="D176" i="58" s="1"/>
  <c r="C28" i="58"/>
  <c r="E73" i="58"/>
  <c r="E79" i="58"/>
  <c r="D84" i="58"/>
  <c r="D88" i="58" s="1"/>
  <c r="F42" i="58"/>
  <c r="F43" i="58" s="1"/>
  <c r="E74" i="58"/>
  <c r="F76" i="58"/>
  <c r="C84" i="58"/>
  <c r="C88" i="58" s="1"/>
  <c r="F101" i="58"/>
  <c r="F96" i="57"/>
  <c r="E58" i="57"/>
  <c r="F108" i="57"/>
  <c r="F112" i="57"/>
  <c r="E114" i="57"/>
  <c r="D120" i="57"/>
  <c r="D124" i="57"/>
  <c r="C105" i="57"/>
  <c r="C125" i="57" s="1"/>
  <c r="F110" i="57"/>
  <c r="F32" i="57"/>
  <c r="F76" i="57"/>
  <c r="D96" i="57"/>
  <c r="E106" i="57"/>
  <c r="D110" i="57"/>
  <c r="D114" i="57"/>
  <c r="D116" i="57"/>
  <c r="F122" i="57"/>
  <c r="F124" i="57"/>
  <c r="E125" i="57"/>
  <c r="E110" i="57"/>
  <c r="E108" i="57"/>
  <c r="E124" i="57"/>
  <c r="F106" i="57"/>
  <c r="E112" i="57"/>
  <c r="D118" i="57"/>
  <c r="E120" i="57"/>
  <c r="D108" i="57"/>
  <c r="D34" i="56"/>
  <c r="F83" i="56"/>
  <c r="E83" i="56"/>
  <c r="E62" i="56"/>
  <c r="D83" i="56"/>
  <c r="F280" i="55"/>
  <c r="E299" i="55"/>
  <c r="G299" i="55"/>
  <c r="G280" i="55"/>
  <c r="F50" i="55"/>
  <c r="F53" i="55" s="1"/>
  <c r="F278" i="55"/>
  <c r="F299" i="55" s="1"/>
  <c r="F298" i="55"/>
  <c r="G50" i="55"/>
  <c r="E52" i="55"/>
  <c r="E79" i="55"/>
  <c r="E282" i="55"/>
  <c r="D50" i="55"/>
  <c r="E53" i="55" s="1"/>
  <c r="F52" i="55"/>
  <c r="E280" i="55"/>
  <c r="F282" i="55"/>
  <c r="E288" i="55"/>
  <c r="E278" i="55"/>
  <c r="G282" i="55"/>
  <c r="E294" i="55"/>
  <c r="B14" i="53"/>
  <c r="B15" i="53"/>
  <c r="C31" i="53"/>
  <c r="D31" i="53"/>
  <c r="E31" i="53"/>
  <c r="E32" i="53" s="1"/>
  <c r="F31" i="53"/>
  <c r="C32" i="53"/>
  <c r="D33" i="53"/>
  <c r="E33" i="53"/>
  <c r="F33" i="53"/>
  <c r="C39" i="53"/>
  <c r="D39" i="53"/>
  <c r="E39" i="53"/>
  <c r="F39" i="53"/>
  <c r="C40" i="53"/>
  <c r="D40" i="53"/>
  <c r="E40" i="53"/>
  <c r="F40" i="53"/>
  <c r="C41" i="53"/>
  <c r="D41" i="53"/>
  <c r="E41" i="53"/>
  <c r="F41" i="53"/>
  <c r="C43" i="53"/>
  <c r="D43" i="53"/>
  <c r="E43" i="53"/>
  <c r="F43" i="53"/>
  <c r="C46" i="53"/>
  <c r="C47" i="53" s="1"/>
  <c r="D46" i="53"/>
  <c r="E46" i="53"/>
  <c r="E47" i="53" s="1"/>
  <c r="F46" i="53"/>
  <c r="C54" i="53"/>
  <c r="D54" i="53"/>
  <c r="D55" i="53" s="1"/>
  <c r="E54" i="53"/>
  <c r="E55" i="53" s="1"/>
  <c r="F54" i="53"/>
  <c r="F55" i="53"/>
  <c r="D56" i="53"/>
  <c r="E56" i="53"/>
  <c r="F56" i="53"/>
  <c r="C62" i="53"/>
  <c r="D62" i="53"/>
  <c r="E62" i="53"/>
  <c r="F62" i="53"/>
  <c r="F310" i="53" s="1"/>
  <c r="C63" i="53"/>
  <c r="D63" i="53"/>
  <c r="E63" i="53"/>
  <c r="F63" i="53"/>
  <c r="F312" i="53" s="1"/>
  <c r="C64" i="53"/>
  <c r="D64" i="53"/>
  <c r="E64" i="53"/>
  <c r="F64" i="53"/>
  <c r="F314" i="53" s="1"/>
  <c r="C66" i="53"/>
  <c r="D66" i="53"/>
  <c r="D318" i="53" s="1"/>
  <c r="E66" i="53"/>
  <c r="F66" i="53"/>
  <c r="F318" i="53" s="1"/>
  <c r="C69" i="53"/>
  <c r="D69" i="53"/>
  <c r="D70" i="53" s="1"/>
  <c r="E69" i="53"/>
  <c r="F69" i="53"/>
  <c r="F70" i="53" s="1"/>
  <c r="C77" i="53"/>
  <c r="D77" i="53"/>
  <c r="E77" i="53"/>
  <c r="F77" i="53"/>
  <c r="C78" i="53"/>
  <c r="D78" i="53"/>
  <c r="E78" i="53"/>
  <c r="F78" i="53"/>
  <c r="F81" i="53" s="1"/>
  <c r="D79" i="53"/>
  <c r="E79" i="53"/>
  <c r="F79" i="53"/>
  <c r="C85" i="53"/>
  <c r="D85" i="53"/>
  <c r="E85" i="53"/>
  <c r="F85" i="53"/>
  <c r="C86" i="53"/>
  <c r="D86" i="53"/>
  <c r="E86" i="53"/>
  <c r="F86" i="53"/>
  <c r="C87" i="53"/>
  <c r="D87" i="53"/>
  <c r="E87" i="53"/>
  <c r="F87" i="53"/>
  <c r="C89" i="53"/>
  <c r="D89" i="53"/>
  <c r="E89" i="53"/>
  <c r="F89" i="53"/>
  <c r="C92" i="53"/>
  <c r="D92" i="53"/>
  <c r="E92" i="53"/>
  <c r="E93" i="53" s="1"/>
  <c r="F92" i="53"/>
  <c r="C104" i="53"/>
  <c r="D104" i="53"/>
  <c r="E104" i="53"/>
  <c r="F104" i="53"/>
  <c r="D105" i="53"/>
  <c r="E105" i="53"/>
  <c r="F105" i="53"/>
  <c r="D106" i="53"/>
  <c r="E106" i="53"/>
  <c r="F106" i="53"/>
  <c r="C113" i="53"/>
  <c r="D113" i="53"/>
  <c r="E113" i="53"/>
  <c r="F113" i="53"/>
  <c r="C125" i="53"/>
  <c r="D125" i="53"/>
  <c r="E125" i="53"/>
  <c r="F125" i="53"/>
  <c r="D126" i="53"/>
  <c r="E126" i="53"/>
  <c r="F126" i="53"/>
  <c r="D127" i="53"/>
  <c r="E127" i="53"/>
  <c r="F127" i="53"/>
  <c r="F128" i="53"/>
  <c r="C134" i="53"/>
  <c r="D134" i="53"/>
  <c r="E134" i="53"/>
  <c r="F134" i="53"/>
  <c r="C145" i="53"/>
  <c r="D145" i="53"/>
  <c r="E145" i="53"/>
  <c r="F145" i="53"/>
  <c r="D146" i="53"/>
  <c r="E146" i="53"/>
  <c r="F146" i="53"/>
  <c r="D147" i="53"/>
  <c r="E147" i="53"/>
  <c r="F147" i="53"/>
  <c r="C154" i="53"/>
  <c r="C163" i="53"/>
  <c r="D163" i="53"/>
  <c r="E163" i="53"/>
  <c r="F163" i="53"/>
  <c r="D164" i="53"/>
  <c r="E164" i="53"/>
  <c r="F164" i="53"/>
  <c r="D165" i="53"/>
  <c r="E165" i="53"/>
  <c r="F165" i="53"/>
  <c r="C172" i="53"/>
  <c r="D172" i="53"/>
  <c r="E172" i="53"/>
  <c r="F172" i="53"/>
  <c r="C189" i="53"/>
  <c r="D189" i="53"/>
  <c r="D192" i="53" s="1"/>
  <c r="E189" i="53"/>
  <c r="F189" i="53"/>
  <c r="D190" i="53"/>
  <c r="E190" i="53"/>
  <c r="F190" i="53"/>
  <c r="D191" i="53"/>
  <c r="E191" i="53"/>
  <c r="F191" i="53"/>
  <c r="C205" i="53"/>
  <c r="D205" i="53"/>
  <c r="E205" i="53"/>
  <c r="F205" i="53"/>
  <c r="F206" i="53" s="1"/>
  <c r="C206" i="53"/>
  <c r="D206" i="53"/>
  <c r="E206" i="53"/>
  <c r="C214" i="53"/>
  <c r="D214" i="53"/>
  <c r="E214" i="53"/>
  <c r="F214" i="53"/>
  <c r="F217" i="53" s="1"/>
  <c r="D215" i="53"/>
  <c r="E215" i="53"/>
  <c r="F215" i="53"/>
  <c r="D216" i="53"/>
  <c r="E216" i="53"/>
  <c r="F216" i="53"/>
  <c r="C228" i="53"/>
  <c r="D228" i="53"/>
  <c r="E228" i="53"/>
  <c r="F228" i="53"/>
  <c r="F229" i="53" s="1"/>
  <c r="C229" i="53"/>
  <c r="D229" i="53"/>
  <c r="E229" i="53"/>
  <c r="C240" i="53"/>
  <c r="D240" i="53"/>
  <c r="E240" i="53"/>
  <c r="F240" i="53"/>
  <c r="D241" i="53"/>
  <c r="E241" i="53"/>
  <c r="F241" i="53"/>
  <c r="D242" i="53"/>
  <c r="E242" i="53"/>
  <c r="F242" i="53"/>
  <c r="C249" i="53"/>
  <c r="D249" i="53"/>
  <c r="E249" i="53"/>
  <c r="F249" i="53"/>
  <c r="C258" i="53"/>
  <c r="D258" i="53"/>
  <c r="E258" i="53"/>
  <c r="F258" i="53"/>
  <c r="D259" i="53"/>
  <c r="E259" i="53"/>
  <c r="F259" i="53"/>
  <c r="D260" i="53"/>
  <c r="E260" i="53"/>
  <c r="F260" i="53"/>
  <c r="C267" i="53"/>
  <c r="D267" i="53"/>
  <c r="E267" i="53"/>
  <c r="F267" i="53"/>
  <c r="C278" i="53"/>
  <c r="D278" i="53"/>
  <c r="E278" i="53"/>
  <c r="F278" i="53"/>
  <c r="D279" i="53"/>
  <c r="E279" i="53"/>
  <c r="F279" i="53"/>
  <c r="D280" i="53"/>
  <c r="E280" i="53"/>
  <c r="F280" i="53"/>
  <c r="F281" i="53"/>
  <c r="C287" i="53"/>
  <c r="D287" i="53"/>
  <c r="E287" i="53"/>
  <c r="F287" i="53"/>
  <c r="C296" i="53"/>
  <c r="D296" i="53"/>
  <c r="E296" i="53"/>
  <c r="F296" i="53"/>
  <c r="D297" i="53"/>
  <c r="E297" i="53"/>
  <c r="F297" i="53"/>
  <c r="D298" i="53"/>
  <c r="E298" i="53"/>
  <c r="F298" i="53"/>
  <c r="C305" i="53"/>
  <c r="D305" i="53"/>
  <c r="E305" i="53"/>
  <c r="F305" i="53"/>
  <c r="E307" i="53"/>
  <c r="C310" i="53"/>
  <c r="D312" i="53"/>
  <c r="D314" i="53"/>
  <c r="C316" i="53"/>
  <c r="D316" i="53"/>
  <c r="E316" i="53"/>
  <c r="F316" i="53"/>
  <c r="C318" i="53"/>
  <c r="C320" i="53"/>
  <c r="D320" i="53"/>
  <c r="E320" i="53"/>
  <c r="F320" i="53"/>
  <c r="F321" i="53" s="1"/>
  <c r="C322" i="53"/>
  <c r="D322" i="53"/>
  <c r="D323" i="53" s="1"/>
  <c r="E322" i="53"/>
  <c r="F322" i="53"/>
  <c r="C324" i="53"/>
  <c r="D324" i="53"/>
  <c r="D325" i="53" s="1"/>
  <c r="E324" i="53"/>
  <c r="F324" i="53"/>
  <c r="C326" i="53"/>
  <c r="D326" i="53"/>
  <c r="E327" i="53" s="1"/>
  <c r="E326" i="53"/>
  <c r="F326" i="53"/>
  <c r="F327" i="53" s="1"/>
  <c r="D81" i="53" l="1"/>
  <c r="E312" i="53"/>
  <c r="D317" i="53"/>
  <c r="E217" i="53"/>
  <c r="D125" i="57"/>
  <c r="E54" i="58"/>
  <c r="F30" i="58"/>
  <c r="E162" i="58"/>
  <c r="E174" i="58"/>
  <c r="F174" i="58"/>
  <c r="E313" i="53"/>
  <c r="F307" i="53"/>
  <c r="F57" i="53"/>
  <c r="E148" i="53"/>
  <c r="E81" i="53"/>
  <c r="C70" i="53"/>
  <c r="D47" i="53"/>
  <c r="F317" i="53"/>
  <c r="E299" i="53"/>
  <c r="F192" i="53"/>
  <c r="D166" i="53"/>
  <c r="D80" i="53"/>
  <c r="D319" i="53"/>
  <c r="D310" i="53"/>
  <c r="E58" i="53"/>
  <c r="F58" i="53"/>
  <c r="F299" i="53"/>
  <c r="D281" i="53"/>
  <c r="D243" i="53"/>
  <c r="D217" i="53"/>
  <c r="D148" i="53"/>
  <c r="D107" i="53"/>
  <c r="E70" i="53"/>
  <c r="E318" i="53"/>
  <c r="E319" i="53" s="1"/>
  <c r="E314" i="53"/>
  <c r="E310" i="53"/>
  <c r="E311" i="53" s="1"/>
  <c r="F47" i="53"/>
  <c r="F34" i="53"/>
  <c r="F32" i="53"/>
  <c r="E325" i="53"/>
  <c r="F323" i="53"/>
  <c r="D299" i="53"/>
  <c r="D261" i="53"/>
  <c r="F243" i="53"/>
  <c r="F148" i="53"/>
  <c r="D128" i="53"/>
  <c r="C93" i="53"/>
  <c r="E57" i="53"/>
  <c r="F433" i="62"/>
  <c r="F204" i="62"/>
  <c r="D435" i="62"/>
  <c r="E389" i="62"/>
  <c r="E353" i="62"/>
  <c r="E493" i="70"/>
  <c r="F493" i="70"/>
  <c r="F471" i="70"/>
  <c r="D470" i="70"/>
  <c r="E475" i="70"/>
  <c r="F475" i="70"/>
  <c r="F305" i="69"/>
  <c r="F286" i="69"/>
  <c r="D287" i="68"/>
  <c r="D306" i="68"/>
  <c r="F306" i="68"/>
  <c r="F287" i="68"/>
  <c r="E287" i="68"/>
  <c r="F153" i="66"/>
  <c r="F134" i="66"/>
  <c r="E153" i="66"/>
  <c r="E134" i="66"/>
  <c r="D153" i="66"/>
  <c r="D134" i="66"/>
  <c r="F127" i="65"/>
  <c r="F33" i="65"/>
  <c r="F230" i="65"/>
  <c r="F208" i="65"/>
  <c r="E208" i="65"/>
  <c r="E230" i="65"/>
  <c r="E127" i="65"/>
  <c r="F396" i="64"/>
  <c r="F374" i="64"/>
  <c r="D374" i="64"/>
  <c r="D396" i="64"/>
  <c r="E374" i="64"/>
  <c r="E250" i="62"/>
  <c r="F435" i="62"/>
  <c r="F75" i="62"/>
  <c r="E435" i="62"/>
  <c r="D31" i="62"/>
  <c r="F162" i="62"/>
  <c r="E371" i="62"/>
  <c r="F407" i="62"/>
  <c r="D30" i="62"/>
  <c r="D43" i="62"/>
  <c r="D261" i="62"/>
  <c r="D264" i="62" s="1"/>
  <c r="D263" i="62"/>
  <c r="D159" i="62"/>
  <c r="D162" i="62" s="1"/>
  <c r="D161" i="62"/>
  <c r="D58" i="62"/>
  <c r="D61" i="62" s="1"/>
  <c r="D60" i="62"/>
  <c r="F353" i="62"/>
  <c r="D289" i="62"/>
  <c r="D276" i="62"/>
  <c r="F235" i="62"/>
  <c r="F237" i="62"/>
  <c r="E161" i="62"/>
  <c r="E264" i="62"/>
  <c r="D187" i="62"/>
  <c r="D190" i="62" s="1"/>
  <c r="D189" i="62"/>
  <c r="D204" i="62"/>
  <c r="D174" i="62"/>
  <c r="C204" i="62"/>
  <c r="D422" i="62"/>
  <c r="D425" i="62" s="1"/>
  <c r="D424" i="62"/>
  <c r="E424" i="62"/>
  <c r="E235" i="62"/>
  <c r="E238" i="62" s="1"/>
  <c r="E237" i="62"/>
  <c r="E136" i="62"/>
  <c r="E139" i="62" s="1"/>
  <c r="E138" i="62"/>
  <c r="E28" i="62"/>
  <c r="E31" i="62" s="1"/>
  <c r="E30" i="62"/>
  <c r="D290" i="62"/>
  <c r="D85" i="62"/>
  <c r="D75" i="62"/>
  <c r="F30" i="62"/>
  <c r="E215" i="62"/>
  <c r="E162" i="62"/>
  <c r="D433" i="62"/>
  <c r="E60" i="62"/>
  <c r="E151" i="62"/>
  <c r="F212" i="62"/>
  <c r="F215" i="62" s="1"/>
  <c r="F214" i="62"/>
  <c r="F111" i="62"/>
  <c r="F114" i="62" s="1"/>
  <c r="F113" i="62"/>
  <c r="C433" i="62"/>
  <c r="E190" i="62"/>
  <c r="D86" i="62"/>
  <c r="C302" i="62"/>
  <c r="C98" i="62"/>
  <c r="F371" i="62"/>
  <c r="F128" i="62"/>
  <c r="F264" i="62"/>
  <c r="F250" i="62"/>
  <c r="F298" i="61"/>
  <c r="F282" i="61"/>
  <c r="E298" i="61"/>
  <c r="E282" i="61"/>
  <c r="D209" i="60"/>
  <c r="D233" i="60" s="1"/>
  <c r="E209" i="60"/>
  <c r="E233" i="60" s="1"/>
  <c r="D66" i="60"/>
  <c r="E211" i="60"/>
  <c r="E66" i="60"/>
  <c r="F211" i="60"/>
  <c r="E30" i="60"/>
  <c r="E28" i="60"/>
  <c r="E31" i="60" s="1"/>
  <c r="E123" i="60"/>
  <c r="F176" i="58"/>
  <c r="D163" i="58"/>
  <c r="C163" i="58"/>
  <c r="C180" i="58" s="1"/>
  <c r="F163" i="58"/>
  <c r="D27" i="58"/>
  <c r="D54" i="58" s="1"/>
  <c r="E65" i="58"/>
  <c r="D168" i="58"/>
  <c r="E172" i="58"/>
  <c r="D164" i="58"/>
  <c r="E163" i="58"/>
  <c r="E164" i="58" s="1"/>
  <c r="E166" i="58"/>
  <c r="F166" i="58"/>
  <c r="E30" i="58"/>
  <c r="E28" i="58"/>
  <c r="D106" i="57"/>
  <c r="G53" i="55"/>
  <c r="E308" i="53"/>
  <c r="D327" i="53"/>
  <c r="E321" i="53"/>
  <c r="E243" i="53"/>
  <c r="D93" i="53"/>
  <c r="F93" i="53"/>
  <c r="F325" i="53"/>
  <c r="E317" i="53"/>
  <c r="E261" i="53"/>
  <c r="E107" i="53"/>
  <c r="E80" i="53"/>
  <c r="C314" i="53"/>
  <c r="D315" i="53" s="1"/>
  <c r="C312" i="53"/>
  <c r="D313" i="53" s="1"/>
  <c r="D308" i="53"/>
  <c r="E166" i="53"/>
  <c r="F315" i="53"/>
  <c r="F313" i="53"/>
  <c r="F35" i="53"/>
  <c r="E34" i="53"/>
  <c r="E328" i="53"/>
  <c r="F308" i="53"/>
  <c r="F311" i="53"/>
  <c r="D311" i="53"/>
  <c r="E323" i="53"/>
  <c r="D321" i="53"/>
  <c r="E315" i="53"/>
  <c r="D57" i="53"/>
  <c r="C55" i="53"/>
  <c r="D58" i="53" s="1"/>
  <c r="D32" i="53"/>
  <c r="D307" i="53"/>
  <c r="D328" i="53" s="1"/>
  <c r="E281" i="53"/>
  <c r="F261" i="53"/>
  <c r="E192" i="53"/>
  <c r="F166" i="53"/>
  <c r="E128" i="53"/>
  <c r="F107" i="53"/>
  <c r="F80" i="53"/>
  <c r="D34" i="53"/>
  <c r="C307" i="53"/>
  <c r="E309" i="53" l="1"/>
  <c r="F319" i="53"/>
  <c r="D471" i="70"/>
  <c r="D493" i="70"/>
  <c r="E471" i="70"/>
  <c r="E61" i="62"/>
  <c r="E425" i="62"/>
  <c r="F31" i="62"/>
  <c r="F238" i="62"/>
  <c r="F139" i="62"/>
  <c r="F31" i="60"/>
  <c r="D30" i="58"/>
  <c r="D28" i="58"/>
  <c r="D31" i="58" s="1"/>
  <c r="D162" i="58"/>
  <c r="D180" i="58" s="1"/>
  <c r="E31" i="58"/>
  <c r="F31" i="58"/>
  <c r="F180" i="58"/>
  <c r="F164" i="58"/>
  <c r="C308" i="53"/>
  <c r="D309" i="53" s="1"/>
  <c r="D35" i="53"/>
  <c r="E35" i="53"/>
  <c r="F328" i="53"/>
  <c r="F309" i="53"/>
  <c r="C328" i="53" l="1"/>
  <c r="D239" i="51"/>
  <c r="D237" i="51"/>
  <c r="F236" i="51"/>
  <c r="E236" i="51"/>
  <c r="D236" i="51"/>
  <c r="D235" i="51"/>
  <c r="F234" i="51"/>
  <c r="E234" i="51"/>
  <c r="F235" i="51" s="1"/>
  <c r="D234" i="51"/>
  <c r="C234" i="51"/>
  <c r="F232" i="51"/>
  <c r="E232" i="51"/>
  <c r="F233" i="51" s="1"/>
  <c r="D232" i="51"/>
  <c r="C232" i="51"/>
  <c r="D233" i="51" s="1"/>
  <c r="D231" i="51"/>
  <c r="F230" i="51"/>
  <c r="F231" i="51" s="1"/>
  <c r="E230" i="51"/>
  <c r="D230" i="51"/>
  <c r="C230" i="51"/>
  <c r="F228" i="51"/>
  <c r="E228" i="51"/>
  <c r="E229" i="51" s="1"/>
  <c r="D228" i="51"/>
  <c r="C228" i="51"/>
  <c r="D227" i="51"/>
  <c r="F226" i="51"/>
  <c r="F227" i="51" s="1"/>
  <c r="E226" i="51"/>
  <c r="D226" i="51"/>
  <c r="E227" i="51" s="1"/>
  <c r="C226" i="51"/>
  <c r="F224" i="51"/>
  <c r="F225" i="51" s="1"/>
  <c r="E224" i="51"/>
  <c r="E225" i="51" s="1"/>
  <c r="C224" i="51"/>
  <c r="F222" i="51"/>
  <c r="C222" i="51"/>
  <c r="D220" i="51"/>
  <c r="F219" i="51"/>
  <c r="E219" i="51"/>
  <c r="D219" i="51"/>
  <c r="F215" i="51"/>
  <c r="E215" i="51"/>
  <c r="D215" i="51"/>
  <c r="C214" i="51"/>
  <c r="C215" i="51" s="1"/>
  <c r="F208" i="51"/>
  <c r="E208" i="51"/>
  <c r="D208" i="51"/>
  <c r="F207" i="51"/>
  <c r="E207" i="51"/>
  <c r="D207" i="51"/>
  <c r="F206" i="51"/>
  <c r="E206" i="51"/>
  <c r="D206" i="51"/>
  <c r="C206" i="51"/>
  <c r="C199" i="51"/>
  <c r="F194" i="51"/>
  <c r="E194" i="51"/>
  <c r="D194" i="51"/>
  <c r="C194" i="51"/>
  <c r="C193" i="51"/>
  <c r="F187" i="51"/>
  <c r="E187" i="51"/>
  <c r="D187" i="51"/>
  <c r="F186" i="51"/>
  <c r="E186" i="51"/>
  <c r="D186" i="51"/>
  <c r="F185" i="51"/>
  <c r="E185" i="51"/>
  <c r="D185" i="51"/>
  <c r="C185" i="51"/>
  <c r="C178" i="51"/>
  <c r="F173" i="51"/>
  <c r="E173" i="51"/>
  <c r="D173" i="51"/>
  <c r="C173" i="51"/>
  <c r="C172" i="51"/>
  <c r="F166" i="51"/>
  <c r="E166" i="51"/>
  <c r="D166" i="51"/>
  <c r="F165" i="51"/>
  <c r="E165" i="51"/>
  <c r="D165" i="51"/>
  <c r="F164" i="51"/>
  <c r="F167" i="51" s="1"/>
  <c r="E164" i="51"/>
  <c r="D164" i="51"/>
  <c r="D167" i="51" s="1"/>
  <c r="C164" i="51"/>
  <c r="C157" i="51"/>
  <c r="F152" i="51"/>
  <c r="E152" i="51"/>
  <c r="D152" i="51"/>
  <c r="C150" i="51"/>
  <c r="C152" i="51" s="1"/>
  <c r="F145" i="51"/>
  <c r="E145" i="51"/>
  <c r="D145" i="51"/>
  <c r="F144" i="51"/>
  <c r="E144" i="51"/>
  <c r="D144" i="51"/>
  <c r="F143" i="51"/>
  <c r="E143" i="51"/>
  <c r="F146" i="51" s="1"/>
  <c r="D143" i="51"/>
  <c r="C143" i="51"/>
  <c r="C136" i="51"/>
  <c r="F131" i="51"/>
  <c r="E131" i="51"/>
  <c r="D131" i="51"/>
  <c r="C129" i="51"/>
  <c r="C236" i="51" s="1"/>
  <c r="F124" i="51"/>
  <c r="E124" i="51"/>
  <c r="D124" i="51"/>
  <c r="F123" i="51"/>
  <c r="E123" i="51"/>
  <c r="D123" i="51"/>
  <c r="F122" i="51"/>
  <c r="E122" i="51"/>
  <c r="E125" i="51" s="1"/>
  <c r="D122" i="51"/>
  <c r="C122" i="51"/>
  <c r="F110" i="51"/>
  <c r="F238" i="51" s="1"/>
  <c r="E110" i="51"/>
  <c r="E238" i="51" s="1"/>
  <c r="D110" i="51"/>
  <c r="C110" i="51"/>
  <c r="C238" i="51" s="1"/>
  <c r="F103" i="51"/>
  <c r="E103" i="51"/>
  <c r="D103" i="51"/>
  <c r="F102" i="51"/>
  <c r="E102" i="51"/>
  <c r="D102" i="51"/>
  <c r="F101" i="51"/>
  <c r="E101" i="51"/>
  <c r="E104" i="51" s="1"/>
  <c r="D101" i="51"/>
  <c r="C101" i="51"/>
  <c r="C94" i="51"/>
  <c r="F89" i="51"/>
  <c r="E89" i="51"/>
  <c r="D89" i="51"/>
  <c r="C89" i="51"/>
  <c r="F82" i="51"/>
  <c r="E82" i="51"/>
  <c r="D82" i="51"/>
  <c r="F81" i="51"/>
  <c r="E81" i="51"/>
  <c r="D81" i="51"/>
  <c r="F80" i="51"/>
  <c r="E80" i="51"/>
  <c r="E83" i="51" s="1"/>
  <c r="D80" i="51"/>
  <c r="C80" i="51"/>
  <c r="C73" i="51"/>
  <c r="F60" i="51"/>
  <c r="F64" i="51" s="1"/>
  <c r="D60" i="51"/>
  <c r="D64" i="51" s="1"/>
  <c r="C60" i="51"/>
  <c r="E39" i="51"/>
  <c r="E222" i="51" s="1"/>
  <c r="F34" i="51"/>
  <c r="E34" i="51"/>
  <c r="F33" i="51"/>
  <c r="E33" i="51"/>
  <c r="D33" i="51"/>
  <c r="F32" i="51"/>
  <c r="F35" i="51" s="1"/>
  <c r="E32" i="51"/>
  <c r="D32" i="51"/>
  <c r="C31" i="51"/>
  <c r="C219" i="51" s="1"/>
  <c r="D34" i="51" l="1"/>
  <c r="C64" i="51"/>
  <c r="D209" i="51"/>
  <c r="F209" i="51"/>
  <c r="D243" i="51"/>
  <c r="D188" i="51"/>
  <c r="E188" i="51"/>
  <c r="F229" i="51"/>
  <c r="E237" i="51"/>
  <c r="E35" i="51"/>
  <c r="F83" i="51"/>
  <c r="F104" i="51"/>
  <c r="D238" i="51"/>
  <c r="E239" i="51" s="1"/>
  <c r="D125" i="51"/>
  <c r="D146" i="51"/>
  <c r="E167" i="51"/>
  <c r="E231" i="51"/>
  <c r="E233" i="51"/>
  <c r="E235" i="51"/>
  <c r="F125" i="51"/>
  <c r="D221" i="51"/>
  <c r="D83" i="51"/>
  <c r="D104" i="51"/>
  <c r="F188" i="51"/>
  <c r="E209" i="51"/>
  <c r="E220" i="51"/>
  <c r="E223" i="51"/>
  <c r="F223" i="51"/>
  <c r="F239" i="51"/>
  <c r="C220" i="51"/>
  <c r="C243" i="51" s="1"/>
  <c r="F220" i="51"/>
  <c r="C32" i="51"/>
  <c r="D35" i="51" s="1"/>
  <c r="D223" i="51" s="1"/>
  <c r="E60" i="51"/>
  <c r="E64" i="51" s="1"/>
  <c r="C131" i="51"/>
  <c r="E146" i="51"/>
  <c r="F237" i="51"/>
  <c r="F199" i="49"/>
  <c r="E199" i="49"/>
  <c r="D199" i="49"/>
  <c r="C199" i="49"/>
  <c r="D200" i="49" s="1"/>
  <c r="F197" i="49"/>
  <c r="E197" i="49"/>
  <c r="D197" i="49"/>
  <c r="C197" i="49"/>
  <c r="F195" i="49"/>
  <c r="E195" i="49"/>
  <c r="D195" i="49"/>
  <c r="C195" i="49"/>
  <c r="F190" i="49"/>
  <c r="E190" i="49"/>
  <c r="D190" i="49"/>
  <c r="C190" i="49"/>
  <c r="F183" i="49"/>
  <c r="E183" i="49"/>
  <c r="D183" i="49"/>
  <c r="F182" i="49"/>
  <c r="E182" i="49"/>
  <c r="D182" i="49"/>
  <c r="F181" i="49"/>
  <c r="E181" i="49"/>
  <c r="D181" i="49"/>
  <c r="C181" i="49"/>
  <c r="F172" i="49"/>
  <c r="E172" i="49"/>
  <c r="D172" i="49"/>
  <c r="C172" i="49"/>
  <c r="F165" i="49"/>
  <c r="E165" i="49"/>
  <c r="D165" i="49"/>
  <c r="F164" i="49"/>
  <c r="E164" i="49"/>
  <c r="D164" i="49"/>
  <c r="F163" i="49"/>
  <c r="E163" i="49"/>
  <c r="D163" i="49"/>
  <c r="C163" i="49"/>
  <c r="F154" i="49"/>
  <c r="E154" i="49"/>
  <c r="D154" i="49"/>
  <c r="C154" i="49"/>
  <c r="F147" i="49"/>
  <c r="E147" i="49"/>
  <c r="D147" i="49"/>
  <c r="F146" i="49"/>
  <c r="E146" i="49"/>
  <c r="D146" i="49"/>
  <c r="F145" i="49"/>
  <c r="E145" i="49"/>
  <c r="D145" i="49"/>
  <c r="C145" i="49"/>
  <c r="F133" i="49"/>
  <c r="E133" i="49"/>
  <c r="D133" i="49"/>
  <c r="C133" i="49"/>
  <c r="F126" i="49"/>
  <c r="E126" i="49"/>
  <c r="D126" i="49"/>
  <c r="F125" i="49"/>
  <c r="E125" i="49"/>
  <c r="D125" i="49"/>
  <c r="F124" i="49"/>
  <c r="E124" i="49"/>
  <c r="D124" i="49"/>
  <c r="C124" i="49"/>
  <c r="F112" i="49"/>
  <c r="E112" i="49"/>
  <c r="D112" i="49"/>
  <c r="C112" i="49"/>
  <c r="F105" i="49"/>
  <c r="E105" i="49"/>
  <c r="D105" i="49"/>
  <c r="F104" i="49"/>
  <c r="E104" i="49"/>
  <c r="D104" i="49"/>
  <c r="F103" i="49"/>
  <c r="E103" i="49"/>
  <c r="D103" i="49"/>
  <c r="C103" i="49"/>
  <c r="F91" i="49"/>
  <c r="F92" i="49" s="1"/>
  <c r="E91" i="49"/>
  <c r="E92" i="49" s="1"/>
  <c r="D91" i="49"/>
  <c r="D92" i="49" s="1"/>
  <c r="C91" i="49"/>
  <c r="C92" i="49" s="1"/>
  <c r="F83" i="49"/>
  <c r="E83" i="49"/>
  <c r="D83" i="49"/>
  <c r="F82" i="49"/>
  <c r="E82" i="49"/>
  <c r="D82" i="49"/>
  <c r="F81" i="49"/>
  <c r="E81" i="49"/>
  <c r="D81" i="49"/>
  <c r="C81" i="49"/>
  <c r="F66" i="49"/>
  <c r="F67" i="49" s="1"/>
  <c r="E66" i="49"/>
  <c r="E67" i="49" s="1"/>
  <c r="D66" i="49"/>
  <c r="D67" i="49" s="1"/>
  <c r="C66" i="49"/>
  <c r="C67" i="49" s="1"/>
  <c r="F58" i="49"/>
  <c r="E58" i="49"/>
  <c r="D58" i="49"/>
  <c r="F57" i="49"/>
  <c r="E57" i="49"/>
  <c r="D57" i="49"/>
  <c r="F56" i="49"/>
  <c r="E56" i="49"/>
  <c r="D56" i="49"/>
  <c r="C56" i="49"/>
  <c r="F41" i="49"/>
  <c r="F42" i="49" s="1"/>
  <c r="E41" i="49"/>
  <c r="E42" i="49" s="1"/>
  <c r="D41" i="49"/>
  <c r="D42" i="49" s="1"/>
  <c r="C41" i="49"/>
  <c r="C42" i="49" s="1"/>
  <c r="F33" i="49"/>
  <c r="E33" i="49"/>
  <c r="D33" i="49"/>
  <c r="F32" i="49"/>
  <c r="E32" i="49"/>
  <c r="D32" i="49"/>
  <c r="F31" i="49"/>
  <c r="E31" i="49"/>
  <c r="D31" i="49"/>
  <c r="C31" i="49"/>
  <c r="E84" i="49" l="1"/>
  <c r="E166" i="49"/>
  <c r="D59" i="49"/>
  <c r="D148" i="49"/>
  <c r="E127" i="49"/>
  <c r="E200" i="49"/>
  <c r="F84" i="49"/>
  <c r="F127" i="49"/>
  <c r="E184" i="49"/>
  <c r="E34" i="49"/>
  <c r="D127" i="49"/>
  <c r="F184" i="49"/>
  <c r="D34" i="49"/>
  <c r="E106" i="49"/>
  <c r="D184" i="49"/>
  <c r="F34" i="49"/>
  <c r="D201" i="49"/>
  <c r="D198" i="49"/>
  <c r="F106" i="49"/>
  <c r="C192" i="49"/>
  <c r="D106" i="49"/>
  <c r="F148" i="49"/>
  <c r="F166" i="49"/>
  <c r="E201" i="49"/>
  <c r="F59" i="49"/>
  <c r="C201" i="49"/>
  <c r="C193" i="49" s="1"/>
  <c r="F201" i="49"/>
  <c r="F202" i="49" s="1"/>
  <c r="F198" i="49"/>
  <c r="F243" i="51"/>
  <c r="F221" i="51"/>
  <c r="E221" i="51"/>
  <c r="E243" i="51"/>
  <c r="F193" i="49"/>
  <c r="F192" i="49"/>
  <c r="D196" i="49"/>
  <c r="E198" i="49"/>
  <c r="F200" i="49"/>
  <c r="E59" i="49"/>
  <c r="D84" i="49"/>
  <c r="E148" i="49"/>
  <c r="D166" i="49"/>
  <c r="E196" i="49"/>
  <c r="D192" i="49"/>
  <c r="D193" i="49"/>
  <c r="F196" i="49"/>
  <c r="E192" i="49"/>
  <c r="E202" i="49" l="1"/>
  <c r="C203" i="49"/>
  <c r="E193" i="49"/>
  <c r="F194" i="49" s="1"/>
  <c r="D202" i="49"/>
  <c r="D203" i="49"/>
  <c r="D194" i="49"/>
  <c r="E203" i="49"/>
  <c r="E194" i="49"/>
  <c r="F203" i="49"/>
  <c r="F329" i="48" l="1"/>
  <c r="E329" i="48"/>
  <c r="D329" i="48"/>
  <c r="C329" i="48"/>
  <c r="F328" i="48"/>
  <c r="E328" i="48"/>
  <c r="D328" i="48"/>
  <c r="F326" i="48"/>
  <c r="E326" i="48"/>
  <c r="D326" i="48"/>
  <c r="F320" i="48"/>
  <c r="E320" i="48"/>
  <c r="D320" i="48"/>
  <c r="F318" i="48"/>
  <c r="E318" i="48"/>
  <c r="D318" i="48"/>
  <c r="F316" i="48"/>
  <c r="E316" i="48"/>
  <c r="D316" i="48"/>
  <c r="F314" i="48"/>
  <c r="E314" i="48"/>
  <c r="D314" i="48"/>
  <c r="F312" i="48"/>
  <c r="E312" i="48"/>
  <c r="D312" i="48"/>
  <c r="F310" i="48"/>
  <c r="E310" i="48"/>
  <c r="D310" i="48"/>
  <c r="F305" i="48"/>
  <c r="F306" i="48" s="1"/>
  <c r="E305" i="48"/>
  <c r="E306" i="48" s="1"/>
  <c r="D305" i="48"/>
  <c r="D306" i="48" s="1"/>
  <c r="C305" i="48"/>
  <c r="C306" i="48" s="1"/>
  <c r="F293" i="48"/>
  <c r="E293" i="48"/>
  <c r="D293" i="48"/>
  <c r="F292" i="48"/>
  <c r="E292" i="48"/>
  <c r="D292" i="48"/>
  <c r="F291" i="48"/>
  <c r="E291" i="48"/>
  <c r="D291" i="48"/>
  <c r="C291" i="48"/>
  <c r="F275" i="48"/>
  <c r="F276" i="48" s="1"/>
  <c r="E275" i="48"/>
  <c r="E276" i="48" s="1"/>
  <c r="D275" i="48"/>
  <c r="D276" i="48" s="1"/>
  <c r="C275" i="48"/>
  <c r="C276" i="48" s="1"/>
  <c r="F263" i="48"/>
  <c r="E263" i="48"/>
  <c r="D263" i="48"/>
  <c r="F262" i="48"/>
  <c r="E262" i="48"/>
  <c r="D262" i="48"/>
  <c r="F261" i="48"/>
  <c r="E261" i="48"/>
  <c r="D261" i="48"/>
  <c r="C261" i="48"/>
  <c r="F245" i="48"/>
  <c r="F246" i="48" s="1"/>
  <c r="E245" i="48"/>
  <c r="E246" i="48" s="1"/>
  <c r="D245" i="48"/>
  <c r="D246" i="48" s="1"/>
  <c r="C245" i="48"/>
  <c r="C246" i="48" s="1"/>
  <c r="F233" i="48"/>
  <c r="E233" i="48"/>
  <c r="D233" i="48"/>
  <c r="F232" i="48"/>
  <c r="E232" i="48"/>
  <c r="D232" i="48"/>
  <c r="F231" i="48"/>
  <c r="E231" i="48"/>
  <c r="D231" i="48"/>
  <c r="C231" i="48"/>
  <c r="F216" i="48"/>
  <c r="E216" i="48"/>
  <c r="D216" i="48"/>
  <c r="C216" i="48"/>
  <c r="F209" i="48"/>
  <c r="E209" i="48"/>
  <c r="D209" i="48"/>
  <c r="F208" i="48"/>
  <c r="E208" i="48"/>
  <c r="D208" i="48"/>
  <c r="F207" i="48"/>
  <c r="E207" i="48"/>
  <c r="D207" i="48"/>
  <c r="C207" i="48"/>
  <c r="F197" i="48"/>
  <c r="E197" i="48"/>
  <c r="D197" i="48"/>
  <c r="C197" i="48"/>
  <c r="F190" i="48"/>
  <c r="E190" i="48"/>
  <c r="D190" i="48"/>
  <c r="F189" i="48"/>
  <c r="E189" i="48"/>
  <c r="D189" i="48"/>
  <c r="F188" i="48"/>
  <c r="F191" i="48" s="1"/>
  <c r="E188" i="48"/>
  <c r="D188" i="48"/>
  <c r="C188" i="48"/>
  <c r="F178" i="48"/>
  <c r="E178" i="48"/>
  <c r="D178" i="48"/>
  <c r="C178" i="48"/>
  <c r="F171" i="48"/>
  <c r="E171" i="48"/>
  <c r="D171" i="48"/>
  <c r="F170" i="48"/>
  <c r="E170" i="48"/>
  <c r="D170" i="48"/>
  <c r="F169" i="48"/>
  <c r="E169" i="48"/>
  <c r="D169" i="48"/>
  <c r="C169" i="48"/>
  <c r="F155" i="48"/>
  <c r="E155" i="48"/>
  <c r="D155" i="48"/>
  <c r="C155" i="48"/>
  <c r="F143" i="48"/>
  <c r="E143" i="48"/>
  <c r="D143" i="48"/>
  <c r="F142" i="48"/>
  <c r="E142" i="48"/>
  <c r="D142" i="48"/>
  <c r="F141" i="48"/>
  <c r="E141" i="48"/>
  <c r="D141" i="48"/>
  <c r="C141" i="48"/>
  <c r="F132" i="48"/>
  <c r="F133" i="48" s="1"/>
  <c r="C132" i="48"/>
  <c r="C133" i="48" s="1"/>
  <c r="D126" i="48"/>
  <c r="D125" i="48"/>
  <c r="E125" i="48" s="1"/>
  <c r="F120" i="48"/>
  <c r="E120" i="48"/>
  <c r="D120" i="48"/>
  <c r="F119" i="48"/>
  <c r="E119" i="48"/>
  <c r="D119" i="48"/>
  <c r="F118" i="48"/>
  <c r="E118" i="48"/>
  <c r="D118" i="48"/>
  <c r="C118" i="48"/>
  <c r="F104" i="48"/>
  <c r="E104" i="48"/>
  <c r="D104" i="48"/>
  <c r="C104" i="48"/>
  <c r="F92" i="48"/>
  <c r="E92" i="48"/>
  <c r="D92" i="48"/>
  <c r="F91" i="48"/>
  <c r="E91" i="48"/>
  <c r="D91" i="48"/>
  <c r="F90" i="48"/>
  <c r="E90" i="48"/>
  <c r="E93" i="48" s="1"/>
  <c r="D90" i="48"/>
  <c r="C90" i="48"/>
  <c r="F75" i="48"/>
  <c r="F76" i="48" s="1"/>
  <c r="F105" i="48" s="1"/>
  <c r="E75" i="48"/>
  <c r="E76" i="48" s="1"/>
  <c r="D75" i="48"/>
  <c r="D76" i="48" s="1"/>
  <c r="C75" i="48"/>
  <c r="C76" i="48" s="1"/>
  <c r="C105" i="48" s="1"/>
  <c r="F63" i="48"/>
  <c r="E63" i="48"/>
  <c r="D63" i="48"/>
  <c r="F62" i="48"/>
  <c r="E62" i="48"/>
  <c r="D62" i="48"/>
  <c r="F61" i="48"/>
  <c r="E61" i="48"/>
  <c r="D61" i="48"/>
  <c r="D64" i="48" s="1"/>
  <c r="C61" i="48"/>
  <c r="F46" i="48"/>
  <c r="F47" i="48" s="1"/>
  <c r="C46" i="48"/>
  <c r="C47" i="48" s="1"/>
  <c r="E45" i="48"/>
  <c r="D45" i="48"/>
  <c r="D44" i="48"/>
  <c r="D43" i="48"/>
  <c r="E43" i="48" s="1"/>
  <c r="D42" i="48"/>
  <c r="E42" i="48" s="1"/>
  <c r="D41" i="48"/>
  <c r="E40" i="48"/>
  <c r="D39" i="48"/>
  <c r="E39" i="48" s="1"/>
  <c r="F33" i="48"/>
  <c r="E33" i="48"/>
  <c r="D33" i="48"/>
  <c r="F31" i="48"/>
  <c r="F32" i="48" s="1"/>
  <c r="E31" i="48"/>
  <c r="D31" i="48"/>
  <c r="D32" i="48" s="1"/>
  <c r="C31" i="48"/>
  <c r="C32" i="48" s="1"/>
  <c r="F144" i="48" l="1"/>
  <c r="D172" i="48"/>
  <c r="D264" i="48"/>
  <c r="F294" i="48"/>
  <c r="E191" i="48"/>
  <c r="E121" i="48"/>
  <c r="E210" i="48"/>
  <c r="E264" i="48"/>
  <c r="D93" i="48"/>
  <c r="D132" i="48"/>
  <c r="D133" i="48" s="1"/>
  <c r="D144" i="48"/>
  <c r="F210" i="48"/>
  <c r="D234" i="48"/>
  <c r="F34" i="48"/>
  <c r="F121" i="48"/>
  <c r="E64" i="48"/>
  <c r="F64" i="48"/>
  <c r="F93" i="48"/>
  <c r="E172" i="48"/>
  <c r="D210" i="48"/>
  <c r="E234" i="48"/>
  <c r="F264" i="48"/>
  <c r="D294" i="48"/>
  <c r="E34" i="48"/>
  <c r="D46" i="48"/>
  <c r="D47" i="48" s="1"/>
  <c r="D121" i="48"/>
  <c r="E144" i="48"/>
  <c r="F172" i="48"/>
  <c r="D191" i="48"/>
  <c r="F234" i="48"/>
  <c r="E294" i="48"/>
  <c r="D35" i="48"/>
  <c r="D105" i="48"/>
  <c r="E44" i="48"/>
  <c r="E46" i="48" s="1"/>
  <c r="E47" i="48" s="1"/>
  <c r="E126" i="48"/>
  <c r="E132" i="48" s="1"/>
  <c r="E133" i="48" s="1"/>
  <c r="D34" i="48"/>
  <c r="E32" i="48"/>
  <c r="E35" i="48" s="1"/>
  <c r="F302" i="47"/>
  <c r="F303" i="47" s="1"/>
  <c r="E302" i="47"/>
  <c r="D302" i="47"/>
  <c r="C302" i="47"/>
  <c r="D303" i="47" s="1"/>
  <c r="F300" i="47"/>
  <c r="E300" i="47"/>
  <c r="D300" i="47"/>
  <c r="C300" i="47"/>
  <c r="F298" i="47"/>
  <c r="E298" i="47"/>
  <c r="D298" i="47"/>
  <c r="C298" i="47"/>
  <c r="F296" i="47"/>
  <c r="E296" i="47"/>
  <c r="D296" i="47"/>
  <c r="C296" i="47"/>
  <c r="F294" i="47"/>
  <c r="F295" i="47" s="1"/>
  <c r="E294" i="47"/>
  <c r="D294" i="47"/>
  <c r="C294" i="47"/>
  <c r="F292" i="47"/>
  <c r="E292" i="47"/>
  <c r="D292" i="47"/>
  <c r="C292" i="47"/>
  <c r="F290" i="47"/>
  <c r="E290" i="47"/>
  <c r="D290" i="47"/>
  <c r="C290" i="47"/>
  <c r="F288" i="47"/>
  <c r="E288" i="47"/>
  <c r="D288" i="47"/>
  <c r="C288" i="47"/>
  <c r="D289" i="47" s="1"/>
  <c r="C286" i="47"/>
  <c r="C284" i="47" s="1"/>
  <c r="C304" i="47" s="1"/>
  <c r="F281" i="47"/>
  <c r="E281" i="47"/>
  <c r="D281" i="47"/>
  <c r="C281" i="47"/>
  <c r="F274" i="47"/>
  <c r="E274" i="47"/>
  <c r="D274" i="47"/>
  <c r="F273" i="47"/>
  <c r="E273" i="47"/>
  <c r="D273" i="47"/>
  <c r="F272" i="47"/>
  <c r="E272" i="47"/>
  <c r="E275" i="47" s="1"/>
  <c r="D272" i="47"/>
  <c r="C272" i="47"/>
  <c r="F263" i="47"/>
  <c r="E263" i="47"/>
  <c r="D263" i="47"/>
  <c r="C263" i="47"/>
  <c r="F256" i="47"/>
  <c r="E256" i="47"/>
  <c r="D256" i="47"/>
  <c r="F255" i="47"/>
  <c r="E255" i="47"/>
  <c r="D255" i="47"/>
  <c r="F254" i="47"/>
  <c r="E254" i="47"/>
  <c r="D254" i="47"/>
  <c r="C254" i="47"/>
  <c r="F243" i="47"/>
  <c r="E243" i="47"/>
  <c r="D243" i="47"/>
  <c r="C243" i="47"/>
  <c r="F236" i="47"/>
  <c r="E236" i="47"/>
  <c r="D236" i="47"/>
  <c r="F235" i="47"/>
  <c r="E235" i="47"/>
  <c r="D235" i="47"/>
  <c r="F234" i="47"/>
  <c r="E234" i="47"/>
  <c r="D234" i="47"/>
  <c r="C234" i="47"/>
  <c r="F225" i="47"/>
  <c r="E225" i="47"/>
  <c r="D225" i="47"/>
  <c r="C225" i="47"/>
  <c r="F218" i="47"/>
  <c r="E218" i="47"/>
  <c r="D218" i="47"/>
  <c r="F217" i="47"/>
  <c r="E217" i="47"/>
  <c r="D217" i="47"/>
  <c r="F216" i="47"/>
  <c r="E216" i="47"/>
  <c r="D216" i="47"/>
  <c r="C216" i="47"/>
  <c r="F204" i="47"/>
  <c r="F205" i="47" s="1"/>
  <c r="E204" i="47"/>
  <c r="E205" i="47" s="1"/>
  <c r="D204" i="47"/>
  <c r="D205" i="47" s="1"/>
  <c r="C204" i="47"/>
  <c r="C205" i="47" s="1"/>
  <c r="F192" i="47"/>
  <c r="E192" i="47"/>
  <c r="D192" i="47"/>
  <c r="F191" i="47"/>
  <c r="E191" i="47"/>
  <c r="D191" i="47"/>
  <c r="F190" i="47"/>
  <c r="E190" i="47"/>
  <c r="D190" i="47"/>
  <c r="C190" i="47"/>
  <c r="F181" i="47"/>
  <c r="F182" i="47" s="1"/>
  <c r="E181" i="47"/>
  <c r="E182" i="47" s="1"/>
  <c r="D181" i="47"/>
  <c r="D182" i="47" s="1"/>
  <c r="C181" i="47"/>
  <c r="C182" i="47" s="1"/>
  <c r="F167" i="47"/>
  <c r="E167" i="47"/>
  <c r="D167" i="47"/>
  <c r="F166" i="47"/>
  <c r="E166" i="47"/>
  <c r="D166" i="47"/>
  <c r="F165" i="47"/>
  <c r="E165" i="47"/>
  <c r="D165" i="47"/>
  <c r="C165" i="47"/>
  <c r="F148" i="47"/>
  <c r="E148" i="47"/>
  <c r="D148" i="47"/>
  <c r="C148" i="47"/>
  <c r="F141" i="47"/>
  <c r="E141" i="47"/>
  <c r="D141" i="47"/>
  <c r="F140" i="47"/>
  <c r="E140" i="47"/>
  <c r="D140" i="47"/>
  <c r="F139" i="47"/>
  <c r="F142" i="47" s="1"/>
  <c r="E139" i="47"/>
  <c r="D139" i="47"/>
  <c r="C139" i="47"/>
  <c r="F130" i="47"/>
  <c r="E130" i="47"/>
  <c r="D130" i="47"/>
  <c r="C130" i="47"/>
  <c r="F123" i="47"/>
  <c r="E123" i="47"/>
  <c r="D123" i="47"/>
  <c r="F122" i="47"/>
  <c r="E122" i="47"/>
  <c r="D122" i="47"/>
  <c r="F121" i="47"/>
  <c r="E121" i="47"/>
  <c r="D121" i="47"/>
  <c r="C121" i="47"/>
  <c r="F110" i="47"/>
  <c r="E110" i="47"/>
  <c r="D110" i="47"/>
  <c r="C110" i="47"/>
  <c r="F103" i="47"/>
  <c r="E103" i="47"/>
  <c r="D103" i="47"/>
  <c r="F102" i="47"/>
  <c r="E102" i="47"/>
  <c r="D102" i="47"/>
  <c r="F101" i="47"/>
  <c r="F104" i="47" s="1"/>
  <c r="E101" i="47"/>
  <c r="D101" i="47"/>
  <c r="D104" i="47" s="1"/>
  <c r="C101" i="47"/>
  <c r="F89" i="47"/>
  <c r="E89" i="47"/>
  <c r="D89" i="47"/>
  <c r="C89" i="47"/>
  <c r="F82" i="47"/>
  <c r="E82" i="47"/>
  <c r="D82" i="47"/>
  <c r="F81" i="47"/>
  <c r="E81" i="47"/>
  <c r="D81" i="47"/>
  <c r="F80" i="47"/>
  <c r="F83" i="47" s="1"/>
  <c r="E80" i="47"/>
  <c r="D80" i="47"/>
  <c r="D83" i="47" s="1"/>
  <c r="C80" i="47"/>
  <c r="F68" i="47"/>
  <c r="F69" i="47" s="1"/>
  <c r="E68" i="47"/>
  <c r="E69" i="47" s="1"/>
  <c r="D68" i="47"/>
  <c r="D69" i="47" s="1"/>
  <c r="C68" i="47"/>
  <c r="C69" i="47" s="1"/>
  <c r="F56" i="47"/>
  <c r="E56" i="47"/>
  <c r="D56" i="47"/>
  <c r="F55" i="47"/>
  <c r="E55" i="47"/>
  <c r="D55" i="47"/>
  <c r="F54" i="47"/>
  <c r="E54" i="47"/>
  <c r="D54" i="47"/>
  <c r="C54" i="47"/>
  <c r="C45" i="47"/>
  <c r="C30" i="47" s="1"/>
  <c r="C31" i="47" s="1"/>
  <c r="F38" i="47"/>
  <c r="F45" i="47" s="1"/>
  <c r="E38" i="47"/>
  <c r="E45" i="47" s="1"/>
  <c r="D38" i="47"/>
  <c r="D286" i="47" s="1"/>
  <c r="F32" i="47"/>
  <c r="E32" i="47"/>
  <c r="D32" i="47"/>
  <c r="D168" i="47" l="1"/>
  <c r="D219" i="47"/>
  <c r="F237" i="47"/>
  <c r="D257" i="47"/>
  <c r="D275" i="47"/>
  <c r="E293" i="47"/>
  <c r="E295" i="47"/>
  <c r="E301" i="47"/>
  <c r="E303" i="47"/>
  <c r="E57" i="47"/>
  <c r="E83" i="47"/>
  <c r="F297" i="47"/>
  <c r="F57" i="47"/>
  <c r="E257" i="47"/>
  <c r="E104" i="47"/>
  <c r="F124" i="47"/>
  <c r="D142" i="47"/>
  <c r="D193" i="47"/>
  <c r="F219" i="47"/>
  <c r="D237" i="47"/>
  <c r="D291" i="47"/>
  <c r="D293" i="47"/>
  <c r="D299" i="47"/>
  <c r="D301" i="47"/>
  <c r="E168" i="47"/>
  <c r="E142" i="47"/>
  <c r="E237" i="47"/>
  <c r="F291" i="47"/>
  <c r="F299" i="47"/>
  <c r="F286" i="47"/>
  <c r="F289" i="47"/>
  <c r="D124" i="47"/>
  <c r="E193" i="47"/>
  <c r="E219" i="47"/>
  <c r="F257" i="47"/>
  <c r="F275" i="47"/>
  <c r="D295" i="47"/>
  <c r="D297" i="47"/>
  <c r="C46" i="47"/>
  <c r="D57" i="47"/>
  <c r="E124" i="47"/>
  <c r="F168" i="47"/>
  <c r="F193" i="47"/>
  <c r="E289" i="47"/>
  <c r="E297" i="47"/>
  <c r="E286" i="47"/>
  <c r="E284" i="47" s="1"/>
  <c r="F35" i="48"/>
  <c r="F30" i="47"/>
  <c r="D284" i="47"/>
  <c r="D287" i="47"/>
  <c r="E30" i="47"/>
  <c r="E299" i="47"/>
  <c r="F301" i="47"/>
  <c r="D45" i="47"/>
  <c r="F284" i="47"/>
  <c r="E291" i="47"/>
  <c r="F293" i="47"/>
  <c r="F392" i="46"/>
  <c r="F393" i="46" s="1"/>
  <c r="E392" i="46"/>
  <c r="D392" i="46"/>
  <c r="C392" i="46"/>
  <c r="F390" i="46"/>
  <c r="E390" i="46"/>
  <c r="D390" i="46"/>
  <c r="C390" i="46"/>
  <c r="F388" i="46"/>
  <c r="E388" i="46"/>
  <c r="D388" i="46"/>
  <c r="D389" i="46" s="1"/>
  <c r="C388" i="46"/>
  <c r="F386" i="46"/>
  <c r="E386" i="46"/>
  <c r="D386" i="46"/>
  <c r="C386" i="46"/>
  <c r="F384" i="46"/>
  <c r="F385" i="46" s="1"/>
  <c r="E384" i="46"/>
  <c r="D384" i="46"/>
  <c r="D385" i="46" s="1"/>
  <c r="C384" i="46"/>
  <c r="F382" i="46"/>
  <c r="E382" i="46"/>
  <c r="D382" i="46"/>
  <c r="C382" i="46"/>
  <c r="F380" i="46"/>
  <c r="E380" i="46"/>
  <c r="D380" i="46"/>
  <c r="D381" i="46" s="1"/>
  <c r="C380" i="46"/>
  <c r="F378" i="46"/>
  <c r="F379" i="46" s="1"/>
  <c r="E378" i="46"/>
  <c r="D378" i="46"/>
  <c r="C378" i="46"/>
  <c r="F376" i="46"/>
  <c r="F377" i="46" s="1"/>
  <c r="E376" i="46"/>
  <c r="D376" i="46"/>
  <c r="D377" i="46" s="1"/>
  <c r="C376" i="46"/>
  <c r="E374" i="46"/>
  <c r="F373" i="46"/>
  <c r="E373" i="46"/>
  <c r="D373" i="46"/>
  <c r="C373" i="46"/>
  <c r="F368" i="46"/>
  <c r="E368" i="46"/>
  <c r="D368" i="46"/>
  <c r="C368" i="46"/>
  <c r="F361" i="46"/>
  <c r="E361" i="46"/>
  <c r="D361" i="46"/>
  <c r="F360" i="46"/>
  <c r="E360" i="46"/>
  <c r="D360" i="46"/>
  <c r="F359" i="46"/>
  <c r="E359" i="46"/>
  <c r="E362" i="46" s="1"/>
  <c r="D359" i="46"/>
  <c r="C359" i="46"/>
  <c r="F347" i="46"/>
  <c r="E347" i="46"/>
  <c r="D347" i="46"/>
  <c r="C347" i="46"/>
  <c r="F340" i="46"/>
  <c r="E340" i="46"/>
  <c r="D340" i="46"/>
  <c r="F339" i="46"/>
  <c r="E339" i="46"/>
  <c r="D339" i="46"/>
  <c r="F338" i="46"/>
  <c r="E338" i="46"/>
  <c r="D338" i="46"/>
  <c r="C338" i="46"/>
  <c r="F324" i="46"/>
  <c r="E324" i="46"/>
  <c r="D324" i="46"/>
  <c r="C324" i="46"/>
  <c r="F317" i="46"/>
  <c r="E317" i="46"/>
  <c r="D317" i="46"/>
  <c r="F316" i="46"/>
  <c r="E316" i="46"/>
  <c r="D316" i="46"/>
  <c r="F315" i="46"/>
  <c r="E315" i="46"/>
  <c r="D315" i="46"/>
  <c r="C315" i="46"/>
  <c r="F303" i="46"/>
  <c r="E303" i="46"/>
  <c r="D303" i="46"/>
  <c r="C303" i="46"/>
  <c r="F296" i="46"/>
  <c r="E296" i="46"/>
  <c r="D296" i="46"/>
  <c r="F295" i="46"/>
  <c r="E295" i="46"/>
  <c r="D295" i="46"/>
  <c r="F294" i="46"/>
  <c r="E294" i="46"/>
  <c r="F297" i="46" s="1"/>
  <c r="D294" i="46"/>
  <c r="C294" i="46"/>
  <c r="F279" i="46"/>
  <c r="F283" i="46" s="1"/>
  <c r="E279" i="46"/>
  <c r="E283" i="46" s="1"/>
  <c r="D279" i="46"/>
  <c r="D283" i="46" s="1"/>
  <c r="C279" i="46"/>
  <c r="C283" i="46" s="1"/>
  <c r="F253" i="46"/>
  <c r="E253" i="46"/>
  <c r="D253" i="46"/>
  <c r="F252" i="46"/>
  <c r="E252" i="46"/>
  <c r="D252" i="46"/>
  <c r="F251" i="46"/>
  <c r="E251" i="46"/>
  <c r="E254" i="46" s="1"/>
  <c r="D251" i="46"/>
  <c r="C251" i="46"/>
  <c r="F239" i="46"/>
  <c r="F243" i="46" s="1"/>
  <c r="E239" i="46"/>
  <c r="E243" i="46" s="1"/>
  <c r="D239" i="46"/>
  <c r="D243" i="46" s="1"/>
  <c r="C239" i="46"/>
  <c r="C243" i="46" s="1"/>
  <c r="F211" i="46"/>
  <c r="E211" i="46"/>
  <c r="D211" i="46"/>
  <c r="F210" i="46"/>
  <c r="E210" i="46"/>
  <c r="D210" i="46"/>
  <c r="F209" i="46"/>
  <c r="E209" i="46"/>
  <c r="D209" i="46"/>
  <c r="C209" i="46"/>
  <c r="D212" i="46" s="1"/>
  <c r="F189" i="46"/>
  <c r="E189" i="46"/>
  <c r="D189" i="46"/>
  <c r="C189" i="46"/>
  <c r="F182" i="46"/>
  <c r="E182" i="46"/>
  <c r="D182" i="46"/>
  <c r="F181" i="46"/>
  <c r="E181" i="46"/>
  <c r="D181" i="46"/>
  <c r="F180" i="46"/>
  <c r="E180" i="46"/>
  <c r="D180" i="46"/>
  <c r="C180" i="46"/>
  <c r="F168" i="46"/>
  <c r="E168" i="46"/>
  <c r="D168" i="46"/>
  <c r="C168" i="46"/>
  <c r="F161" i="46"/>
  <c r="E161" i="46"/>
  <c r="D161" i="46"/>
  <c r="F160" i="46"/>
  <c r="E160" i="46"/>
  <c r="D160" i="46"/>
  <c r="F159" i="46"/>
  <c r="E159" i="46"/>
  <c r="D159" i="46"/>
  <c r="C159" i="46"/>
  <c r="F145" i="46"/>
  <c r="E145" i="46"/>
  <c r="D145" i="46"/>
  <c r="C145" i="46"/>
  <c r="F138" i="46"/>
  <c r="E138" i="46"/>
  <c r="D138" i="46"/>
  <c r="F137" i="46"/>
  <c r="E137" i="46"/>
  <c r="D137" i="46"/>
  <c r="F136" i="46"/>
  <c r="E136" i="46"/>
  <c r="E139" i="46" s="1"/>
  <c r="D136" i="46"/>
  <c r="C136" i="46"/>
  <c r="F124" i="46"/>
  <c r="E124" i="46"/>
  <c r="D124" i="46"/>
  <c r="C124" i="46"/>
  <c r="F117" i="46"/>
  <c r="E117" i="46"/>
  <c r="D117" i="46"/>
  <c r="F116" i="46"/>
  <c r="E116" i="46"/>
  <c r="D116" i="46"/>
  <c r="F115" i="46"/>
  <c r="E115" i="46"/>
  <c r="D115" i="46"/>
  <c r="C115" i="46"/>
  <c r="D118" i="46" s="1"/>
  <c r="F100" i="46"/>
  <c r="F104" i="46" s="1"/>
  <c r="E100" i="46"/>
  <c r="E104" i="46" s="1"/>
  <c r="D100" i="46"/>
  <c r="D104" i="46" s="1"/>
  <c r="C100" i="46"/>
  <c r="C104" i="46" s="1"/>
  <c r="F74" i="46"/>
  <c r="E74" i="46"/>
  <c r="D74" i="46"/>
  <c r="F73" i="46"/>
  <c r="E73" i="46"/>
  <c r="D73" i="46"/>
  <c r="F72" i="46"/>
  <c r="E72" i="46"/>
  <c r="D72" i="46"/>
  <c r="C72" i="46"/>
  <c r="F59" i="46"/>
  <c r="F64" i="46" s="1"/>
  <c r="E59" i="46"/>
  <c r="E64" i="46" s="1"/>
  <c r="D59" i="46"/>
  <c r="D64" i="46" s="1"/>
  <c r="C59" i="46"/>
  <c r="C64" i="46" s="1"/>
  <c r="E45" i="46"/>
  <c r="F45" i="46" s="1"/>
  <c r="F33" i="46"/>
  <c r="E33" i="46"/>
  <c r="D33" i="46"/>
  <c r="F32" i="46"/>
  <c r="E32" i="46"/>
  <c r="D32" i="46"/>
  <c r="F31" i="46"/>
  <c r="E31" i="46"/>
  <c r="D31" i="46"/>
  <c r="C31" i="46"/>
  <c r="D383" i="46" l="1"/>
  <c r="D391" i="46"/>
  <c r="D393" i="46"/>
  <c r="F118" i="46"/>
  <c r="F212" i="46"/>
  <c r="D254" i="46"/>
  <c r="D297" i="46"/>
  <c r="D362" i="46"/>
  <c r="E377" i="46"/>
  <c r="E379" i="46"/>
  <c r="E383" i="46"/>
  <c r="E385" i="46"/>
  <c r="E387" i="46"/>
  <c r="E391" i="46"/>
  <c r="E393" i="46"/>
  <c r="E75" i="46"/>
  <c r="F139" i="46"/>
  <c r="D162" i="46"/>
  <c r="F387" i="46"/>
  <c r="E118" i="46"/>
  <c r="F162" i="46"/>
  <c r="F318" i="46"/>
  <c r="E287" i="47"/>
  <c r="F287" i="47"/>
  <c r="F34" i="46"/>
  <c r="F75" i="46"/>
  <c r="E212" i="46"/>
  <c r="F254" i="46"/>
  <c r="E318" i="46"/>
  <c r="C374" i="46"/>
  <c r="C397" i="46" s="1"/>
  <c r="D387" i="46"/>
  <c r="E34" i="46"/>
  <c r="D34" i="46"/>
  <c r="E183" i="46"/>
  <c r="D341" i="46"/>
  <c r="D139" i="46"/>
  <c r="F183" i="46"/>
  <c r="E341" i="46"/>
  <c r="F341" i="46"/>
  <c r="F362" i="46"/>
  <c r="F381" i="46"/>
  <c r="F389" i="46"/>
  <c r="F285" i="47"/>
  <c r="E283" i="47"/>
  <c r="E304" i="47" s="1"/>
  <c r="E31" i="47"/>
  <c r="D285" i="47"/>
  <c r="D30" i="47"/>
  <c r="D46" i="47" s="1"/>
  <c r="E46" i="47"/>
  <c r="E285" i="47"/>
  <c r="F31" i="47"/>
  <c r="F34" i="47" s="1"/>
  <c r="F283" i="47"/>
  <c r="F304" i="47" s="1"/>
  <c r="F33" i="47"/>
  <c r="F46" i="47"/>
  <c r="D379" i="46"/>
  <c r="E381" i="46"/>
  <c r="F383" i="46"/>
  <c r="E389" i="46"/>
  <c r="F391" i="46"/>
  <c r="D75" i="46"/>
  <c r="E162" i="46"/>
  <c r="D183" i="46"/>
  <c r="E297" i="46"/>
  <c r="D318" i="46"/>
  <c r="F374" i="46"/>
  <c r="E397" i="46"/>
  <c r="D374" i="46"/>
  <c r="D283" i="47" l="1"/>
  <c r="D304" i="47" s="1"/>
  <c r="D33" i="47"/>
  <c r="D31" i="47"/>
  <c r="D34" i="47" s="1"/>
  <c r="E33" i="47"/>
  <c r="D375" i="46"/>
  <c r="D397" i="46"/>
  <c r="F397" i="46"/>
  <c r="F375" i="46"/>
  <c r="E375" i="46"/>
  <c r="E34" i="47" l="1"/>
  <c r="F842" i="40"/>
  <c r="F843" i="40" s="1"/>
  <c r="E842" i="40"/>
  <c r="D842" i="40"/>
  <c r="C842" i="40"/>
  <c r="F836" i="40"/>
  <c r="E836" i="40"/>
  <c r="D836" i="40"/>
  <c r="D837" i="40" s="1"/>
  <c r="C836" i="40"/>
  <c r="F832" i="40"/>
  <c r="F833" i="40" s="1"/>
  <c r="E832" i="40"/>
  <c r="D832" i="40"/>
  <c r="F823" i="40"/>
  <c r="E823" i="40"/>
  <c r="D823" i="40"/>
  <c r="C823" i="40"/>
  <c r="C792" i="40" s="1"/>
  <c r="C793" i="40" s="1"/>
  <c r="F794" i="40"/>
  <c r="E794" i="40"/>
  <c r="D794" i="40"/>
  <c r="D792" i="40"/>
  <c r="D795" i="40" s="1"/>
  <c r="F773" i="40"/>
  <c r="E773" i="40"/>
  <c r="E742" i="40" s="1"/>
  <c r="D773" i="40"/>
  <c r="D742" i="40" s="1"/>
  <c r="C773" i="40"/>
  <c r="F744" i="40"/>
  <c r="E744" i="40"/>
  <c r="D744" i="40"/>
  <c r="F722" i="40"/>
  <c r="E722" i="40"/>
  <c r="E691" i="40" s="1"/>
  <c r="D722" i="40"/>
  <c r="C722" i="40"/>
  <c r="F693" i="40"/>
  <c r="E693" i="40"/>
  <c r="D693" i="40"/>
  <c r="F691" i="40"/>
  <c r="F672" i="40"/>
  <c r="E672" i="40"/>
  <c r="D672" i="40"/>
  <c r="C672" i="40"/>
  <c r="F665" i="40"/>
  <c r="E665" i="40"/>
  <c r="D665" i="40"/>
  <c r="F664" i="40"/>
  <c r="E664" i="40"/>
  <c r="D664" i="40"/>
  <c r="F663" i="40"/>
  <c r="F666" i="40" s="1"/>
  <c r="E663" i="40"/>
  <c r="D663" i="40"/>
  <c r="C663" i="40"/>
  <c r="F651" i="40"/>
  <c r="E651" i="40"/>
  <c r="D651" i="40"/>
  <c r="C651" i="40"/>
  <c r="F644" i="40"/>
  <c r="E644" i="40"/>
  <c r="D644" i="40"/>
  <c r="F643" i="40"/>
  <c r="E643" i="40"/>
  <c r="D643" i="40"/>
  <c r="F642" i="40"/>
  <c r="E642" i="40"/>
  <c r="D642" i="40"/>
  <c r="C642" i="40"/>
  <c r="F628" i="40"/>
  <c r="E628" i="40"/>
  <c r="D628" i="40"/>
  <c r="C628" i="40"/>
  <c r="F621" i="40"/>
  <c r="E621" i="40"/>
  <c r="D621" i="40"/>
  <c r="F620" i="40"/>
  <c r="E620" i="40"/>
  <c r="D620" i="40"/>
  <c r="F619" i="40"/>
  <c r="E619" i="40"/>
  <c r="D619" i="40"/>
  <c r="C619" i="40"/>
  <c r="F607" i="40"/>
  <c r="E607" i="40"/>
  <c r="D607" i="40"/>
  <c r="C607" i="40"/>
  <c r="F600" i="40"/>
  <c r="E600" i="40"/>
  <c r="D600" i="40"/>
  <c r="F599" i="40"/>
  <c r="E599" i="40"/>
  <c r="D599" i="40"/>
  <c r="F598" i="40"/>
  <c r="E598" i="40"/>
  <c r="D598" i="40"/>
  <c r="C598" i="40"/>
  <c r="F583" i="40"/>
  <c r="F554" i="40" s="1"/>
  <c r="E583" i="40"/>
  <c r="D583" i="40"/>
  <c r="C583" i="40"/>
  <c r="F556" i="40"/>
  <c r="E556" i="40"/>
  <c r="D556" i="40"/>
  <c r="C554" i="40"/>
  <c r="C555" i="40" s="1"/>
  <c r="F543" i="40"/>
  <c r="F512" i="40" s="1"/>
  <c r="F513" i="40" s="1"/>
  <c r="E543" i="40"/>
  <c r="D543" i="40"/>
  <c r="C543" i="40"/>
  <c r="C512" i="40" s="1"/>
  <c r="C513" i="40" s="1"/>
  <c r="F514" i="40"/>
  <c r="E514" i="40"/>
  <c r="D514" i="40"/>
  <c r="F493" i="40"/>
  <c r="E493" i="40"/>
  <c r="D493" i="40"/>
  <c r="C493" i="40"/>
  <c r="F486" i="40"/>
  <c r="E486" i="40"/>
  <c r="D486" i="40"/>
  <c r="F485" i="40"/>
  <c r="E485" i="40"/>
  <c r="D485" i="40"/>
  <c r="F484" i="40"/>
  <c r="E484" i="40"/>
  <c r="D484" i="40"/>
  <c r="C484" i="40"/>
  <c r="F472" i="40"/>
  <c r="E472" i="40"/>
  <c r="D472" i="40"/>
  <c r="C472" i="40"/>
  <c r="F465" i="40"/>
  <c r="E465" i="40"/>
  <c r="D465" i="40"/>
  <c r="F464" i="40"/>
  <c r="E464" i="40"/>
  <c r="D464" i="40"/>
  <c r="F463" i="40"/>
  <c r="E463" i="40"/>
  <c r="D463" i="40"/>
  <c r="C463" i="40"/>
  <c r="F427" i="40"/>
  <c r="F445" i="40" s="1"/>
  <c r="E427" i="40"/>
  <c r="E445" i="40" s="1"/>
  <c r="D427" i="40"/>
  <c r="D445" i="40" s="1"/>
  <c r="C427" i="40"/>
  <c r="C424" i="40"/>
  <c r="C832" i="40" s="1"/>
  <c r="F418" i="40"/>
  <c r="E418" i="40"/>
  <c r="D418" i="40"/>
  <c r="F343" i="32"/>
  <c r="F344" i="32" s="1"/>
  <c r="E343" i="32"/>
  <c r="E344" i="32" s="1"/>
  <c r="D343" i="32"/>
  <c r="D344" i="32" s="1"/>
  <c r="C343" i="32"/>
  <c r="C344" i="32" s="1"/>
  <c r="F337" i="32"/>
  <c r="E337" i="32"/>
  <c r="D337" i="32"/>
  <c r="F335" i="32"/>
  <c r="F338" i="32" s="1"/>
  <c r="E335" i="32"/>
  <c r="D335" i="32"/>
  <c r="E338" i="32" s="1"/>
  <c r="C335" i="32"/>
  <c r="F316" i="32"/>
  <c r="E316" i="32"/>
  <c r="C316" i="32"/>
  <c r="D314" i="32"/>
  <c r="D316" i="32" s="1"/>
  <c r="D307" i="32"/>
  <c r="D295" i="32"/>
  <c r="C295" i="32"/>
  <c r="F289" i="32"/>
  <c r="F285" i="32"/>
  <c r="F284" i="32" s="1"/>
  <c r="E285" i="32"/>
  <c r="E293" i="32" s="1"/>
  <c r="E295" i="32" s="1"/>
  <c r="F271" i="32"/>
  <c r="F272" i="32" s="1"/>
  <c r="E271" i="32"/>
  <c r="E272" i="32" s="1"/>
  <c r="D271" i="32"/>
  <c r="D272" i="32" s="1"/>
  <c r="C271" i="32"/>
  <c r="C272" i="32" s="1"/>
  <c r="D263" i="32"/>
  <c r="D251" i="32"/>
  <c r="F250" i="32"/>
  <c r="F251" i="32" s="1"/>
  <c r="E250" i="32"/>
  <c r="E251" i="32" s="1"/>
  <c r="C250" i="32"/>
  <c r="C251" i="32" s="1"/>
  <c r="F244" i="32"/>
  <c r="E244" i="32"/>
  <c r="D244" i="32"/>
  <c r="F242" i="32"/>
  <c r="E242" i="32"/>
  <c r="D242" i="32"/>
  <c r="E245" i="32" s="1"/>
  <c r="C242" i="32"/>
  <c r="F229" i="32"/>
  <c r="F230" i="32" s="1"/>
  <c r="E229" i="32"/>
  <c r="E230" i="32" s="1"/>
  <c r="D229" i="32"/>
  <c r="D230" i="32" s="1"/>
  <c r="C229" i="32"/>
  <c r="C230" i="32" s="1"/>
  <c r="F223" i="32"/>
  <c r="E223" i="32"/>
  <c r="D223" i="32"/>
  <c r="F221" i="32"/>
  <c r="E221" i="32"/>
  <c r="D221" i="32"/>
  <c r="C221" i="32"/>
  <c r="F208" i="32"/>
  <c r="F209" i="32" s="1"/>
  <c r="E208" i="32"/>
  <c r="E209" i="32" s="1"/>
  <c r="D208" i="32"/>
  <c r="D209" i="32" s="1"/>
  <c r="C208" i="32"/>
  <c r="C209" i="32" s="1"/>
  <c r="F202" i="32"/>
  <c r="E202" i="32"/>
  <c r="D202" i="32"/>
  <c r="F200" i="32"/>
  <c r="E200" i="32"/>
  <c r="D200" i="32"/>
  <c r="C200" i="32"/>
  <c r="F185" i="32"/>
  <c r="F186" i="32" s="1"/>
  <c r="E185" i="32"/>
  <c r="E186" i="32" s="1"/>
  <c r="D185" i="32"/>
  <c r="D186" i="32" s="1"/>
  <c r="C185" i="32"/>
  <c r="C186" i="32" s="1"/>
  <c r="F179" i="32"/>
  <c r="E179" i="32"/>
  <c r="D179" i="32"/>
  <c r="F177" i="32"/>
  <c r="E177" i="32"/>
  <c r="D177" i="32"/>
  <c r="C177" i="32"/>
  <c r="F155" i="32"/>
  <c r="E155" i="32"/>
  <c r="E164" i="32" s="1"/>
  <c r="E165" i="32" s="1"/>
  <c r="D155" i="32"/>
  <c r="C155" i="32"/>
  <c r="F154" i="32"/>
  <c r="E154" i="32"/>
  <c r="D154" i="32"/>
  <c r="C154" i="32"/>
  <c r="C139" i="32"/>
  <c r="C138" i="32"/>
  <c r="C137" i="32"/>
  <c r="F133" i="32"/>
  <c r="E133" i="32"/>
  <c r="F132" i="32"/>
  <c r="E132" i="32"/>
  <c r="C130" i="32"/>
  <c r="D133" i="32" s="1"/>
  <c r="F128" i="32"/>
  <c r="E128" i="32"/>
  <c r="D128" i="32"/>
  <c r="D131" i="32" s="1"/>
  <c r="F118" i="32"/>
  <c r="D601" i="40" l="1"/>
  <c r="E745" i="40"/>
  <c r="E466" i="40"/>
  <c r="D666" i="40"/>
  <c r="E666" i="40"/>
  <c r="D132" i="32"/>
  <c r="D224" i="32"/>
  <c r="E203" i="32"/>
  <c r="F245" i="32"/>
  <c r="C445" i="40"/>
  <c r="F487" i="40"/>
  <c r="F622" i="40"/>
  <c r="F694" i="40"/>
  <c r="E601" i="40"/>
  <c r="F466" i="40"/>
  <c r="D487" i="40"/>
  <c r="D622" i="40"/>
  <c r="F645" i="40"/>
  <c r="C587" i="40"/>
  <c r="E645" i="40"/>
  <c r="E777" i="40"/>
  <c r="D834" i="40"/>
  <c r="E843" i="40"/>
  <c r="F726" i="40"/>
  <c r="E834" i="40"/>
  <c r="D466" i="40"/>
  <c r="F834" i="40"/>
  <c r="F830" i="40" s="1"/>
  <c r="D512" i="40"/>
  <c r="D547" i="40" s="1"/>
  <c r="F547" i="40"/>
  <c r="F601" i="40"/>
  <c r="D827" i="40"/>
  <c r="C834" i="40"/>
  <c r="D843" i="40"/>
  <c r="D833" i="40"/>
  <c r="E837" i="40"/>
  <c r="E833" i="40"/>
  <c r="D416" i="40"/>
  <c r="E416" i="40"/>
  <c r="F555" i="40"/>
  <c r="D743" i="40"/>
  <c r="F416" i="40"/>
  <c r="F449" i="40" s="1"/>
  <c r="E692" i="40"/>
  <c r="C416" i="40"/>
  <c r="D513" i="40"/>
  <c r="D516" i="40" s="1"/>
  <c r="C547" i="40"/>
  <c r="F587" i="40"/>
  <c r="F692" i="40"/>
  <c r="E726" i="40"/>
  <c r="E743" i="40"/>
  <c r="D777" i="40"/>
  <c r="D793" i="40"/>
  <c r="D796" i="40" s="1"/>
  <c r="C827" i="40"/>
  <c r="E487" i="40"/>
  <c r="E512" i="40"/>
  <c r="D554" i="40"/>
  <c r="D587" i="40" s="1"/>
  <c r="E622" i="40"/>
  <c r="D645" i="40"/>
  <c r="C691" i="40"/>
  <c r="C692" i="40" s="1"/>
  <c r="F742" i="40"/>
  <c r="F777" i="40" s="1"/>
  <c r="E792" i="40"/>
  <c r="E827" i="40" s="1"/>
  <c r="E554" i="40"/>
  <c r="D691" i="40"/>
  <c r="C742" i="40"/>
  <c r="C743" i="40" s="1"/>
  <c r="F792" i="40"/>
  <c r="D180" i="32"/>
  <c r="F203" i="32"/>
  <c r="C144" i="32"/>
  <c r="F156" i="32"/>
  <c r="E180" i="32"/>
  <c r="E224" i="32"/>
  <c r="C156" i="32"/>
  <c r="F164" i="32"/>
  <c r="F165" i="32" s="1"/>
  <c r="F180" i="32"/>
  <c r="F224" i="32"/>
  <c r="E131" i="32"/>
  <c r="D139" i="32"/>
  <c r="F131" i="32"/>
  <c r="D158" i="32"/>
  <c r="E156" i="32"/>
  <c r="F158" i="32"/>
  <c r="C164" i="32"/>
  <c r="C165" i="32" s="1"/>
  <c r="E284" i="32"/>
  <c r="F288" i="32"/>
  <c r="E158" i="32"/>
  <c r="F293" i="32"/>
  <c r="F295" i="32" s="1"/>
  <c r="D164" i="32"/>
  <c r="D165" i="32" s="1"/>
  <c r="D203" i="32"/>
  <c r="D245" i="32"/>
  <c r="D338" i="32"/>
  <c r="D156" i="32"/>
  <c r="F208" i="45"/>
  <c r="E208" i="45"/>
  <c r="D208" i="45"/>
  <c r="C208" i="45"/>
  <c r="F206" i="45"/>
  <c r="E206" i="45"/>
  <c r="D206" i="45"/>
  <c r="C206" i="45"/>
  <c r="F204" i="45"/>
  <c r="E204" i="45"/>
  <c r="D204" i="45"/>
  <c r="C204" i="45"/>
  <c r="F202" i="45"/>
  <c r="E202" i="45"/>
  <c r="D202" i="45"/>
  <c r="C202" i="45"/>
  <c r="F200" i="45"/>
  <c r="E200" i="45"/>
  <c r="D200" i="45"/>
  <c r="C200" i="45"/>
  <c r="F188" i="45"/>
  <c r="E188" i="45"/>
  <c r="E189" i="45" s="1"/>
  <c r="D188" i="45"/>
  <c r="C188" i="45"/>
  <c r="C189" i="45" s="1"/>
  <c r="F173" i="45"/>
  <c r="E173" i="45"/>
  <c r="D173" i="45"/>
  <c r="E172" i="45"/>
  <c r="C172" i="45"/>
  <c r="F171" i="45"/>
  <c r="F174" i="45" s="1"/>
  <c r="D171" i="45"/>
  <c r="F145" i="45"/>
  <c r="E145" i="45"/>
  <c r="D145" i="45"/>
  <c r="C145" i="45"/>
  <c r="F138" i="45"/>
  <c r="E138" i="45"/>
  <c r="D138" i="45"/>
  <c r="F137" i="45"/>
  <c r="E137" i="45"/>
  <c r="D137" i="45"/>
  <c r="F136" i="45"/>
  <c r="E136" i="45"/>
  <c r="D136" i="45"/>
  <c r="C136" i="45"/>
  <c r="F127" i="45"/>
  <c r="E127" i="45"/>
  <c r="D127" i="45"/>
  <c r="C127" i="45"/>
  <c r="F120" i="45"/>
  <c r="E120" i="45"/>
  <c r="D120" i="45"/>
  <c r="F119" i="45"/>
  <c r="E119" i="45"/>
  <c r="D119" i="45"/>
  <c r="F118" i="45"/>
  <c r="E118" i="45"/>
  <c r="D118" i="45"/>
  <c r="C118" i="45"/>
  <c r="D121" i="45" s="1"/>
  <c r="F107" i="45"/>
  <c r="E107" i="45"/>
  <c r="D107" i="45"/>
  <c r="C107" i="45"/>
  <c r="F100" i="45"/>
  <c r="E100" i="45"/>
  <c r="D100" i="45"/>
  <c r="F99" i="45"/>
  <c r="E99" i="45"/>
  <c r="D99" i="45"/>
  <c r="F98" i="45"/>
  <c r="E98" i="45"/>
  <c r="D98" i="45"/>
  <c r="C98" i="45"/>
  <c r="F85" i="45"/>
  <c r="F86" i="45" s="1"/>
  <c r="E85" i="45"/>
  <c r="E210" i="45" s="1"/>
  <c r="D85" i="45"/>
  <c r="D210" i="45" s="1"/>
  <c r="C85" i="45"/>
  <c r="C210" i="45" s="1"/>
  <c r="F76" i="45"/>
  <c r="E76" i="45"/>
  <c r="D76" i="45"/>
  <c r="C76" i="45"/>
  <c r="F75" i="45"/>
  <c r="E75" i="45"/>
  <c r="D75" i="45"/>
  <c r="C75" i="45"/>
  <c r="C59" i="45"/>
  <c r="D59" i="45" s="1"/>
  <c r="C58" i="45"/>
  <c r="D58" i="45" s="1"/>
  <c r="C50" i="45"/>
  <c r="F47" i="45"/>
  <c r="E47" i="45"/>
  <c r="D47" i="45"/>
  <c r="E52" i="45" s="1"/>
  <c r="C47" i="45"/>
  <c r="F37" i="45"/>
  <c r="F198" i="45" s="1"/>
  <c r="E37" i="45"/>
  <c r="E42" i="45" s="1"/>
  <c r="D37" i="45"/>
  <c r="D42" i="45" s="1"/>
  <c r="C37" i="45"/>
  <c r="C198" i="45" s="1"/>
  <c r="F29" i="45"/>
  <c r="E29" i="45"/>
  <c r="D29" i="45"/>
  <c r="F27" i="45"/>
  <c r="F28" i="45" s="1"/>
  <c r="E27" i="45"/>
  <c r="E28" i="45" s="1"/>
  <c r="D27" i="45"/>
  <c r="C27" i="45"/>
  <c r="C28" i="45" s="1"/>
  <c r="E746" i="40" l="1"/>
  <c r="F121" i="45"/>
  <c r="D515" i="40"/>
  <c r="F695" i="40"/>
  <c r="D745" i="40"/>
  <c r="E829" i="40"/>
  <c r="D829" i="40"/>
  <c r="F835" i="40"/>
  <c r="E830" i="40"/>
  <c r="E835" i="40"/>
  <c r="C417" i="40"/>
  <c r="C829" i="40"/>
  <c r="F829" i="40"/>
  <c r="D835" i="40"/>
  <c r="D830" i="40"/>
  <c r="C830" i="40"/>
  <c r="C850" i="40" s="1"/>
  <c r="E203" i="45"/>
  <c r="F207" i="45"/>
  <c r="F850" i="40"/>
  <c r="F831" i="40"/>
  <c r="D692" i="40"/>
  <c r="D695" i="40" s="1"/>
  <c r="D694" i="40"/>
  <c r="C726" i="40"/>
  <c r="E555" i="40"/>
  <c r="E557" i="40"/>
  <c r="E694" i="40"/>
  <c r="F419" i="40"/>
  <c r="F417" i="40"/>
  <c r="D746" i="40"/>
  <c r="E587" i="40"/>
  <c r="E515" i="40"/>
  <c r="E513" i="40"/>
  <c r="F515" i="40"/>
  <c r="F793" i="40"/>
  <c r="F795" i="40"/>
  <c r="E795" i="40"/>
  <c r="E793" i="40"/>
  <c r="E796" i="40" s="1"/>
  <c r="C449" i="40"/>
  <c r="E695" i="40"/>
  <c r="C777" i="40"/>
  <c r="D726" i="40"/>
  <c r="E419" i="40"/>
  <c r="E417" i="40"/>
  <c r="D419" i="40"/>
  <c r="D417" i="40"/>
  <c r="D420" i="40" s="1"/>
  <c r="F745" i="40"/>
  <c r="F743" i="40"/>
  <c r="F746" i="40" s="1"/>
  <c r="D557" i="40"/>
  <c r="D555" i="40"/>
  <c r="D558" i="40" s="1"/>
  <c r="F827" i="40"/>
  <c r="E547" i="40"/>
  <c r="F557" i="40"/>
  <c r="E449" i="40"/>
  <c r="D449" i="40"/>
  <c r="D159" i="32"/>
  <c r="E139" i="32"/>
  <c r="D144" i="32"/>
  <c r="D145" i="32" s="1"/>
  <c r="E159" i="32"/>
  <c r="E144" i="32"/>
  <c r="E145" i="32" s="1"/>
  <c r="F139" i="32"/>
  <c r="F159" i="32"/>
  <c r="F52" i="45"/>
  <c r="F78" i="45"/>
  <c r="F101" i="45"/>
  <c r="F139" i="45"/>
  <c r="E201" i="45"/>
  <c r="E209" i="45"/>
  <c r="E121" i="45"/>
  <c r="D30" i="45"/>
  <c r="E78" i="45"/>
  <c r="E139" i="45"/>
  <c r="D201" i="45"/>
  <c r="D207" i="45"/>
  <c r="D209" i="45"/>
  <c r="C51" i="45"/>
  <c r="C77" i="45"/>
  <c r="F189" i="45"/>
  <c r="F203" i="45"/>
  <c r="D43" i="45"/>
  <c r="D78" i="45"/>
  <c r="D79" i="45"/>
  <c r="D211" i="45"/>
  <c r="E101" i="45"/>
  <c r="D203" i="45"/>
  <c r="D205" i="45"/>
  <c r="F77" i="45"/>
  <c r="D139" i="45"/>
  <c r="F205" i="45"/>
  <c r="E43" i="45"/>
  <c r="E79" i="45"/>
  <c r="D189" i="45"/>
  <c r="E205" i="45"/>
  <c r="D194" i="45"/>
  <c r="E58" i="45"/>
  <c r="D65" i="45"/>
  <c r="D196" i="45"/>
  <c r="E59" i="45"/>
  <c r="E211" i="45"/>
  <c r="F31" i="45"/>
  <c r="E30" i="45"/>
  <c r="F42" i="45"/>
  <c r="F43" i="45" s="1"/>
  <c r="D77" i="45"/>
  <c r="F79" i="45"/>
  <c r="C86" i="45"/>
  <c r="F172" i="45"/>
  <c r="F175" i="45" s="1"/>
  <c r="D174" i="45"/>
  <c r="C196" i="45"/>
  <c r="D198" i="45"/>
  <c r="D199" i="45" s="1"/>
  <c r="F201" i="45"/>
  <c r="E207" i="45"/>
  <c r="F209" i="45"/>
  <c r="F210" i="45"/>
  <c r="F211" i="45" s="1"/>
  <c r="D28" i="45"/>
  <c r="D31" i="45" s="1"/>
  <c r="F30" i="45"/>
  <c r="C42" i="45"/>
  <c r="C43" i="45" s="1"/>
  <c r="D52" i="45"/>
  <c r="E77" i="45"/>
  <c r="E80" i="45" s="1"/>
  <c r="D86" i="45"/>
  <c r="E174" i="45"/>
  <c r="C194" i="45"/>
  <c r="E198" i="45"/>
  <c r="C65" i="45"/>
  <c r="C66" i="45" s="1"/>
  <c r="E86" i="45"/>
  <c r="D101" i="45"/>
  <c r="D172" i="45"/>
  <c r="D175" i="45" s="1"/>
  <c r="C191" i="45"/>
  <c r="C192" i="45" l="1"/>
  <c r="E420" i="40"/>
  <c r="E558" i="40"/>
  <c r="D831" i="40"/>
  <c r="D850" i="40"/>
  <c r="E831" i="40"/>
  <c r="E850" i="40"/>
  <c r="E199" i="45"/>
  <c r="F796" i="40"/>
  <c r="E516" i="40"/>
  <c r="F516" i="40"/>
  <c r="F420" i="40"/>
  <c r="F558" i="40"/>
  <c r="F144" i="32"/>
  <c r="F145" i="32" s="1"/>
  <c r="C212" i="45"/>
  <c r="D80" i="45"/>
  <c r="D50" i="45"/>
  <c r="F199" i="45"/>
  <c r="E196" i="45"/>
  <c r="E197" i="45" s="1"/>
  <c r="F59" i="45"/>
  <c r="E65" i="45"/>
  <c r="E194" i="45"/>
  <c r="F58" i="45"/>
  <c r="F194" i="45" s="1"/>
  <c r="F80" i="45"/>
  <c r="E175" i="45"/>
  <c r="E31" i="45"/>
  <c r="D197" i="45"/>
  <c r="D192" i="45"/>
  <c r="D195" i="45"/>
  <c r="F195" i="45" l="1"/>
  <c r="E195" i="45"/>
  <c r="E192" i="45"/>
  <c r="E50" i="45"/>
  <c r="E66" i="45" s="1"/>
  <c r="D51" i="45"/>
  <c r="D54" i="45" s="1"/>
  <c r="D53" i="45"/>
  <c r="D191" i="45"/>
  <c r="D212" i="45" s="1"/>
  <c r="D193" i="45"/>
  <c r="F196" i="45"/>
  <c r="F197" i="45" s="1"/>
  <c r="F65" i="45"/>
  <c r="D66" i="45"/>
  <c r="F50" i="45" l="1"/>
  <c r="F66" i="45" s="1"/>
  <c r="E193" i="45"/>
  <c r="F192" i="45"/>
  <c r="E51" i="45"/>
  <c r="E54" i="45" s="1"/>
  <c r="E53" i="45"/>
  <c r="E191" i="45"/>
  <c r="E212" i="45" s="1"/>
  <c r="F53" i="45" l="1"/>
  <c r="F51" i="45"/>
  <c r="F54" i="45" s="1"/>
  <c r="F191" i="45"/>
  <c r="F212" i="45" s="1"/>
  <c r="F193" i="45"/>
  <c r="F501" i="44" l="1"/>
  <c r="E501" i="44"/>
  <c r="D501" i="44"/>
  <c r="C501" i="44"/>
  <c r="F499" i="44"/>
  <c r="E499" i="44"/>
  <c r="D499" i="44"/>
  <c r="C499" i="44"/>
  <c r="F497" i="44"/>
  <c r="E497" i="44"/>
  <c r="D497" i="44"/>
  <c r="C497" i="44"/>
  <c r="F495" i="44"/>
  <c r="E495" i="44"/>
  <c r="D495" i="44"/>
  <c r="C495" i="44"/>
  <c r="F493" i="44"/>
  <c r="E493" i="44"/>
  <c r="D493" i="44"/>
  <c r="C493" i="44"/>
  <c r="F491" i="44"/>
  <c r="E491" i="44"/>
  <c r="D491" i="44"/>
  <c r="C491" i="44"/>
  <c r="F489" i="44"/>
  <c r="E489" i="44"/>
  <c r="D489" i="44"/>
  <c r="C489" i="44"/>
  <c r="F487" i="44"/>
  <c r="E487" i="44"/>
  <c r="D487" i="44"/>
  <c r="C487" i="44"/>
  <c r="F485" i="44"/>
  <c r="E485" i="44"/>
  <c r="E483" i="44" s="1"/>
  <c r="D485" i="44"/>
  <c r="C485" i="44"/>
  <c r="C483" i="44" s="1"/>
  <c r="F482" i="44"/>
  <c r="E482" i="44"/>
  <c r="D482" i="44"/>
  <c r="C482" i="44"/>
  <c r="F478" i="44"/>
  <c r="E478" i="44"/>
  <c r="D478" i="44"/>
  <c r="C478" i="44"/>
  <c r="F471" i="44"/>
  <c r="E471" i="44"/>
  <c r="D471" i="44"/>
  <c r="F470" i="44"/>
  <c r="E470" i="44"/>
  <c r="D470" i="44"/>
  <c r="F469" i="44"/>
  <c r="E469" i="44"/>
  <c r="D469" i="44"/>
  <c r="C469" i="44"/>
  <c r="F456" i="44"/>
  <c r="F457" i="44" s="1"/>
  <c r="E456" i="44"/>
  <c r="E457" i="44" s="1"/>
  <c r="D456" i="44"/>
  <c r="D457" i="44" s="1"/>
  <c r="C456" i="44"/>
  <c r="C457" i="44" s="1"/>
  <c r="F442" i="44"/>
  <c r="E442" i="44"/>
  <c r="D442" i="44"/>
  <c r="F441" i="44"/>
  <c r="E441" i="44"/>
  <c r="D441" i="44"/>
  <c r="F440" i="44"/>
  <c r="E440" i="44"/>
  <c r="D440" i="44"/>
  <c r="C440" i="44"/>
  <c r="F422" i="44"/>
  <c r="E422" i="44"/>
  <c r="D422" i="44"/>
  <c r="C422" i="44"/>
  <c r="F415" i="44"/>
  <c r="E415" i="44"/>
  <c r="D415" i="44"/>
  <c r="F414" i="44"/>
  <c r="E414" i="44"/>
  <c r="D414" i="44"/>
  <c r="F413" i="44"/>
  <c r="E413" i="44"/>
  <c r="D413" i="44"/>
  <c r="C413" i="44"/>
  <c r="F400" i="44"/>
  <c r="E400" i="44"/>
  <c r="D400" i="44"/>
  <c r="C400" i="44"/>
  <c r="F393" i="44"/>
  <c r="E393" i="44"/>
  <c r="D393" i="44"/>
  <c r="F392" i="44"/>
  <c r="E392" i="44"/>
  <c r="D392" i="44"/>
  <c r="F391" i="44"/>
  <c r="E391" i="44"/>
  <c r="D391" i="44"/>
  <c r="C391" i="44"/>
  <c r="F378" i="44"/>
  <c r="F379" i="44" s="1"/>
  <c r="E378" i="44"/>
  <c r="E379" i="44" s="1"/>
  <c r="D378" i="44"/>
  <c r="D379" i="44" s="1"/>
  <c r="C378" i="44"/>
  <c r="C379" i="44" s="1"/>
  <c r="F366" i="44"/>
  <c r="E366" i="44"/>
  <c r="D366" i="44"/>
  <c r="F365" i="44"/>
  <c r="E365" i="44"/>
  <c r="D365" i="44"/>
  <c r="F364" i="44"/>
  <c r="E364" i="44"/>
  <c r="D364" i="44"/>
  <c r="C364" i="44"/>
  <c r="F354" i="44"/>
  <c r="F355" i="44" s="1"/>
  <c r="E354" i="44"/>
  <c r="E355" i="44" s="1"/>
  <c r="D354" i="44"/>
  <c r="D355" i="44" s="1"/>
  <c r="C354" i="44"/>
  <c r="C355" i="44" s="1"/>
  <c r="F342" i="44"/>
  <c r="E342" i="44"/>
  <c r="D342" i="44"/>
  <c r="F341" i="44"/>
  <c r="E341" i="44"/>
  <c r="D341" i="44"/>
  <c r="F340" i="44"/>
  <c r="E340" i="44"/>
  <c r="D340" i="44"/>
  <c r="C340" i="44"/>
  <c r="F324" i="44"/>
  <c r="E324" i="44"/>
  <c r="D324" i="44"/>
  <c r="C324" i="44"/>
  <c r="F317" i="44"/>
  <c r="E317" i="44"/>
  <c r="D317" i="44"/>
  <c r="F316" i="44"/>
  <c r="E316" i="44"/>
  <c r="D316" i="44"/>
  <c r="F315" i="44"/>
  <c r="F318" i="44" s="1"/>
  <c r="E315" i="44"/>
  <c r="D315" i="44"/>
  <c r="C315" i="44"/>
  <c r="D303" i="44"/>
  <c r="F302" i="44"/>
  <c r="F303" i="44" s="1"/>
  <c r="E302" i="44"/>
  <c r="E303" i="44" s="1"/>
  <c r="D302" i="44"/>
  <c r="C302" i="44"/>
  <c r="C303" i="44" s="1"/>
  <c r="F288" i="44"/>
  <c r="E288" i="44"/>
  <c r="D288" i="44"/>
  <c r="F287" i="44"/>
  <c r="E287" i="44"/>
  <c r="D287" i="44"/>
  <c r="F286" i="44"/>
  <c r="E286" i="44"/>
  <c r="E289" i="44" s="1"/>
  <c r="D286" i="44"/>
  <c r="C286" i="44"/>
  <c r="F268" i="44"/>
  <c r="E268" i="44"/>
  <c r="D268" i="44"/>
  <c r="C268" i="44"/>
  <c r="F261" i="44"/>
  <c r="E261" i="44"/>
  <c r="D261" i="44"/>
  <c r="F260" i="44"/>
  <c r="E260" i="44"/>
  <c r="D260" i="44"/>
  <c r="F259" i="44"/>
  <c r="E259" i="44"/>
  <c r="D259" i="44"/>
  <c r="C259" i="44"/>
  <c r="F246" i="44"/>
  <c r="E246" i="44"/>
  <c r="D246" i="44"/>
  <c r="C246" i="44"/>
  <c r="F239" i="44"/>
  <c r="E239" i="44"/>
  <c r="D239" i="44"/>
  <c r="F238" i="44"/>
  <c r="E238" i="44"/>
  <c r="D238" i="44"/>
  <c r="F237" i="44"/>
  <c r="E237" i="44"/>
  <c r="D237" i="44"/>
  <c r="C237" i="44"/>
  <c r="F224" i="44"/>
  <c r="F225" i="44" s="1"/>
  <c r="E224" i="44"/>
  <c r="E225" i="44" s="1"/>
  <c r="D224" i="44"/>
  <c r="D225" i="44" s="1"/>
  <c r="C224" i="44"/>
  <c r="C225" i="44" s="1"/>
  <c r="F212" i="44"/>
  <c r="E212" i="44"/>
  <c r="D212" i="44"/>
  <c r="F211" i="44"/>
  <c r="E211" i="44"/>
  <c r="D211" i="44"/>
  <c r="F210" i="44"/>
  <c r="E210" i="44"/>
  <c r="D210" i="44"/>
  <c r="C210" i="44"/>
  <c r="F200" i="44"/>
  <c r="F201" i="44" s="1"/>
  <c r="E200" i="44"/>
  <c r="E201" i="44" s="1"/>
  <c r="D200" i="44"/>
  <c r="D201" i="44" s="1"/>
  <c r="C200" i="44"/>
  <c r="C201" i="44" s="1"/>
  <c r="F188" i="44"/>
  <c r="E188" i="44"/>
  <c r="D188" i="44"/>
  <c r="F187" i="44"/>
  <c r="E187" i="44"/>
  <c r="D187" i="44"/>
  <c r="F186" i="44"/>
  <c r="E186" i="44"/>
  <c r="D186" i="44"/>
  <c r="C186" i="44"/>
  <c r="F170" i="44"/>
  <c r="E170" i="44"/>
  <c r="D170" i="44"/>
  <c r="C170" i="44"/>
  <c r="F163" i="44"/>
  <c r="E163" i="44"/>
  <c r="D163" i="44"/>
  <c r="F162" i="44"/>
  <c r="E162" i="44"/>
  <c r="D162" i="44"/>
  <c r="F161" i="44"/>
  <c r="E161" i="44"/>
  <c r="D161" i="44"/>
  <c r="C161" i="44"/>
  <c r="F148" i="44"/>
  <c r="F149" i="44" s="1"/>
  <c r="E148" i="44"/>
  <c r="E149" i="44" s="1"/>
  <c r="D148" i="44"/>
  <c r="D149" i="44" s="1"/>
  <c r="C148" i="44"/>
  <c r="C149" i="44" s="1"/>
  <c r="F134" i="44"/>
  <c r="E134" i="44"/>
  <c r="D134" i="44"/>
  <c r="F133" i="44"/>
  <c r="E133" i="44"/>
  <c r="D133" i="44"/>
  <c r="F132" i="44"/>
  <c r="F135" i="44" s="1"/>
  <c r="E132" i="44"/>
  <c r="D132" i="44"/>
  <c r="C132" i="44"/>
  <c r="F114" i="44"/>
  <c r="E114" i="44"/>
  <c r="D114" i="44"/>
  <c r="C114" i="44"/>
  <c r="F107" i="44"/>
  <c r="E107" i="44"/>
  <c r="D107" i="44"/>
  <c r="F106" i="44"/>
  <c r="E106" i="44"/>
  <c r="D106" i="44"/>
  <c r="F105" i="44"/>
  <c r="E105" i="44"/>
  <c r="D105" i="44"/>
  <c r="C105" i="44"/>
  <c r="F92" i="44"/>
  <c r="E92" i="44"/>
  <c r="D92" i="44"/>
  <c r="C92" i="44"/>
  <c r="F85" i="44"/>
  <c r="E85" i="44"/>
  <c r="D85" i="44"/>
  <c r="F84" i="44"/>
  <c r="E84" i="44"/>
  <c r="D84" i="44"/>
  <c r="F83" i="44"/>
  <c r="E83" i="44"/>
  <c r="D83" i="44"/>
  <c r="C83" i="44"/>
  <c r="F70" i="44"/>
  <c r="F71" i="44" s="1"/>
  <c r="E70" i="44"/>
  <c r="E71" i="44" s="1"/>
  <c r="D70" i="44"/>
  <c r="D71" i="44" s="1"/>
  <c r="C70" i="44"/>
  <c r="C71" i="44" s="1"/>
  <c r="F58" i="44"/>
  <c r="E58" i="44"/>
  <c r="D58" i="44"/>
  <c r="F57" i="44"/>
  <c r="E57" i="44"/>
  <c r="D57" i="44"/>
  <c r="F56" i="44"/>
  <c r="E56" i="44"/>
  <c r="D56" i="44"/>
  <c r="C56" i="44"/>
  <c r="F46" i="44"/>
  <c r="F47" i="44" s="1"/>
  <c r="E46" i="44"/>
  <c r="E47" i="44" s="1"/>
  <c r="D46" i="44"/>
  <c r="D47" i="44" s="1"/>
  <c r="C46" i="44"/>
  <c r="C47" i="44" s="1"/>
  <c r="F34" i="44"/>
  <c r="E34" i="44"/>
  <c r="D34" i="44"/>
  <c r="F33" i="44"/>
  <c r="E33" i="44"/>
  <c r="D33" i="44"/>
  <c r="F32" i="44"/>
  <c r="E32" i="44"/>
  <c r="D32" i="44"/>
  <c r="C32" i="44"/>
  <c r="B22" i="44"/>
  <c r="B21" i="44"/>
  <c r="B20" i="44"/>
  <c r="D86" i="44" l="1"/>
  <c r="E108" i="44"/>
  <c r="D135" i="44"/>
  <c r="D189" i="44"/>
  <c r="E318" i="44"/>
  <c r="E416" i="44"/>
  <c r="E500" i="44"/>
  <c r="D343" i="44"/>
  <c r="D394" i="44"/>
  <c r="D443" i="44"/>
  <c r="C503" i="44"/>
  <c r="D488" i="44"/>
  <c r="D492" i="44"/>
  <c r="D496" i="44"/>
  <c r="D500" i="44"/>
  <c r="E213" i="44"/>
  <c r="F240" i="44"/>
  <c r="E189" i="44"/>
  <c r="F213" i="44"/>
  <c r="D240" i="44"/>
  <c r="D289" i="44"/>
  <c r="D367" i="44"/>
  <c r="D416" i="44"/>
  <c r="E35" i="44"/>
  <c r="F35" i="44"/>
  <c r="F59" i="44"/>
  <c r="F108" i="44"/>
  <c r="D164" i="44"/>
  <c r="D262" i="44"/>
  <c r="D472" i="44"/>
  <c r="D486" i="44"/>
  <c r="D490" i="44"/>
  <c r="D494" i="44"/>
  <c r="D498" i="44"/>
  <c r="D502" i="44"/>
  <c r="E86" i="44"/>
  <c r="D213" i="44"/>
  <c r="D318" i="44"/>
  <c r="E343" i="44"/>
  <c r="F343" i="44"/>
  <c r="F367" i="44"/>
  <c r="F416" i="44"/>
  <c r="E488" i="44"/>
  <c r="E492" i="44"/>
  <c r="E496" i="44"/>
  <c r="D35" i="44"/>
  <c r="D59" i="44"/>
  <c r="D108" i="44"/>
  <c r="E135" i="44"/>
  <c r="F164" i="44"/>
  <c r="E240" i="44"/>
  <c r="F262" i="44"/>
  <c r="E394" i="44"/>
  <c r="F472" i="44"/>
  <c r="F486" i="44"/>
  <c r="F490" i="44"/>
  <c r="F494" i="44"/>
  <c r="F498" i="44"/>
  <c r="F502" i="44"/>
  <c r="E59" i="44"/>
  <c r="F86" i="44"/>
  <c r="E164" i="44"/>
  <c r="F189" i="44"/>
  <c r="E262" i="44"/>
  <c r="F289" i="44"/>
  <c r="E367" i="44"/>
  <c r="F394" i="44"/>
  <c r="E443" i="44"/>
  <c r="F443" i="44"/>
  <c r="E472" i="44"/>
  <c r="E486" i="44"/>
  <c r="F488" i="44"/>
  <c r="E490" i="44"/>
  <c r="F492" i="44"/>
  <c r="E494" i="44"/>
  <c r="F496" i="44"/>
  <c r="E498" i="44"/>
  <c r="F500" i="44"/>
  <c r="E502" i="44"/>
  <c r="E503" i="44"/>
  <c r="D483" i="44"/>
  <c r="F483" i="44"/>
  <c r="F503" i="44" l="1"/>
  <c r="F484" i="44"/>
  <c r="D503" i="44"/>
  <c r="D484" i="44"/>
  <c r="E484" i="44"/>
  <c r="F163" i="43" l="1"/>
  <c r="E163" i="43"/>
  <c r="D163" i="43"/>
  <c r="C163" i="43"/>
  <c r="F161" i="43"/>
  <c r="E161" i="43"/>
  <c r="D161" i="43"/>
  <c r="C161" i="43"/>
  <c r="D162" i="43" s="1"/>
  <c r="F159" i="43"/>
  <c r="E159" i="43"/>
  <c r="D159" i="43"/>
  <c r="C159" i="43"/>
  <c r="F157" i="43"/>
  <c r="E157" i="43"/>
  <c r="D157" i="43"/>
  <c r="C157" i="43"/>
  <c r="D158" i="43" s="1"/>
  <c r="F155" i="43"/>
  <c r="E155" i="43"/>
  <c r="D155" i="43"/>
  <c r="C155" i="43"/>
  <c r="F153" i="43"/>
  <c r="E153" i="43"/>
  <c r="E154" i="43" s="1"/>
  <c r="D153" i="43"/>
  <c r="C153" i="43"/>
  <c r="D154" i="43" s="1"/>
  <c r="F151" i="43"/>
  <c r="E151" i="43"/>
  <c r="D151" i="43"/>
  <c r="C151" i="43"/>
  <c r="F149" i="43"/>
  <c r="E149" i="43"/>
  <c r="E150" i="43" s="1"/>
  <c r="D149" i="43"/>
  <c r="C149" i="43"/>
  <c r="D150" i="43" s="1"/>
  <c r="F147" i="43"/>
  <c r="E147" i="43"/>
  <c r="E145" i="43" s="1"/>
  <c r="D147" i="43"/>
  <c r="C147" i="43"/>
  <c r="C145" i="43" s="1"/>
  <c r="F144" i="43"/>
  <c r="E144" i="43"/>
  <c r="D144" i="43"/>
  <c r="C144" i="43"/>
  <c r="F142" i="43"/>
  <c r="E142" i="43"/>
  <c r="D142" i="43"/>
  <c r="C142" i="43"/>
  <c r="F135" i="43"/>
  <c r="E135" i="43"/>
  <c r="D135" i="43"/>
  <c r="F134" i="43"/>
  <c r="E134" i="43"/>
  <c r="D134" i="43"/>
  <c r="F133" i="43"/>
  <c r="E133" i="43"/>
  <c r="D133" i="43"/>
  <c r="C133" i="43"/>
  <c r="F124" i="43"/>
  <c r="E124" i="43"/>
  <c r="D124" i="43"/>
  <c r="C124" i="43"/>
  <c r="F117" i="43"/>
  <c r="E117" i="43"/>
  <c r="D117" i="43"/>
  <c r="F116" i="43"/>
  <c r="E116" i="43"/>
  <c r="D116" i="43"/>
  <c r="F115" i="43"/>
  <c r="E115" i="43"/>
  <c r="D115" i="43"/>
  <c r="C115" i="43"/>
  <c r="F106" i="43"/>
  <c r="E106" i="43"/>
  <c r="D106" i="43"/>
  <c r="C106" i="43"/>
  <c r="F99" i="43"/>
  <c r="E99" i="43"/>
  <c r="D99" i="43"/>
  <c r="F98" i="43"/>
  <c r="E98" i="43"/>
  <c r="D98" i="43"/>
  <c r="F97" i="43"/>
  <c r="E97" i="43"/>
  <c r="D97" i="43"/>
  <c r="C97" i="43"/>
  <c r="F86" i="43"/>
  <c r="E86" i="43"/>
  <c r="D86" i="43"/>
  <c r="C86" i="43"/>
  <c r="F79" i="43"/>
  <c r="E79" i="43"/>
  <c r="D79" i="43"/>
  <c r="F78" i="43"/>
  <c r="E78" i="43"/>
  <c r="D78" i="43"/>
  <c r="F77" i="43"/>
  <c r="E77" i="43"/>
  <c r="D77" i="43"/>
  <c r="C77" i="43"/>
  <c r="F65" i="43"/>
  <c r="E65" i="43"/>
  <c r="C65" i="43"/>
  <c r="F58" i="43"/>
  <c r="E58" i="43"/>
  <c r="D58" i="43"/>
  <c r="F57" i="43"/>
  <c r="E57" i="43"/>
  <c r="D57" i="43"/>
  <c r="F56" i="43"/>
  <c r="E56" i="43"/>
  <c r="D56" i="43"/>
  <c r="C56" i="43"/>
  <c r="D59" i="43" s="1"/>
  <c r="F44" i="43"/>
  <c r="F45" i="43" s="1"/>
  <c r="E44" i="43"/>
  <c r="E45" i="43" s="1"/>
  <c r="D44" i="43"/>
  <c r="D45" i="43" s="1"/>
  <c r="C44" i="43"/>
  <c r="C45" i="43" s="1"/>
  <c r="F32" i="43"/>
  <c r="E32" i="43"/>
  <c r="D32" i="43"/>
  <c r="F31" i="43"/>
  <c r="E31" i="43"/>
  <c r="D31" i="43"/>
  <c r="F30" i="43"/>
  <c r="E30" i="43"/>
  <c r="D30" i="43"/>
  <c r="C30" i="43"/>
  <c r="F156" i="43" l="1"/>
  <c r="F164" i="43"/>
  <c r="E59" i="43"/>
  <c r="F100" i="43"/>
  <c r="F136" i="43"/>
  <c r="C165" i="43"/>
  <c r="F148" i="43"/>
  <c r="F152" i="43"/>
  <c r="F160" i="43"/>
  <c r="D33" i="43"/>
  <c r="D100" i="43"/>
  <c r="D136" i="43"/>
  <c r="D148" i="43"/>
  <c r="D152" i="43"/>
  <c r="D156" i="43"/>
  <c r="D160" i="43"/>
  <c r="D164" i="43"/>
  <c r="E80" i="43"/>
  <c r="E118" i="43"/>
  <c r="F33" i="43"/>
  <c r="D80" i="43"/>
  <c r="D118" i="43"/>
  <c r="E158" i="43"/>
  <c r="E162" i="43"/>
  <c r="E33" i="43"/>
  <c r="F59" i="43"/>
  <c r="F80" i="43"/>
  <c r="E100" i="43"/>
  <c r="F118" i="43"/>
  <c r="E136" i="43"/>
  <c r="E148" i="43"/>
  <c r="F150" i="43"/>
  <c r="E152" i="43"/>
  <c r="F154" i="43"/>
  <c r="E156" i="43"/>
  <c r="F158" i="43"/>
  <c r="E160" i="43"/>
  <c r="F162" i="43"/>
  <c r="E164" i="43"/>
  <c r="E165" i="43"/>
  <c r="D145" i="43"/>
  <c r="F145" i="43"/>
  <c r="D165" i="43" l="1"/>
  <c r="D146" i="43"/>
  <c r="F165" i="43"/>
  <c r="F146" i="43"/>
  <c r="E146" i="43"/>
  <c r="F284" i="42" l="1"/>
  <c r="E284" i="42"/>
  <c r="D284" i="42"/>
  <c r="C284" i="42"/>
  <c r="F282" i="42"/>
  <c r="E282" i="42"/>
  <c r="E283" i="42" s="1"/>
  <c r="D282" i="42"/>
  <c r="C282" i="42"/>
  <c r="F281" i="42"/>
  <c r="E281" i="42"/>
  <c r="D281" i="42"/>
  <c r="F279" i="42"/>
  <c r="E279" i="42"/>
  <c r="D279" i="42"/>
  <c r="F277" i="42"/>
  <c r="E277" i="42"/>
  <c r="D277" i="42"/>
  <c r="C274" i="42"/>
  <c r="C272" i="42"/>
  <c r="C270" i="42"/>
  <c r="F264" i="42"/>
  <c r="F265" i="42" s="1"/>
  <c r="E264" i="42"/>
  <c r="E265" i="42" s="1"/>
  <c r="D264" i="42"/>
  <c r="D265" i="42" s="1"/>
  <c r="C264" i="42"/>
  <c r="C265" i="42" s="1"/>
  <c r="F258" i="42"/>
  <c r="E258" i="42"/>
  <c r="D258" i="42"/>
  <c r="F257" i="42"/>
  <c r="E257" i="42"/>
  <c r="D257" i="42"/>
  <c r="F256" i="42"/>
  <c r="E256" i="42"/>
  <c r="D256" i="42"/>
  <c r="C256" i="42"/>
  <c r="C251" i="42"/>
  <c r="C250" i="42"/>
  <c r="C249" i="42"/>
  <c r="C248" i="42"/>
  <c r="F244" i="42"/>
  <c r="F245" i="42" s="1"/>
  <c r="E244" i="42"/>
  <c r="E245" i="42" s="1"/>
  <c r="D244" i="42"/>
  <c r="D245" i="42" s="1"/>
  <c r="C244" i="42"/>
  <c r="C245" i="42" s="1"/>
  <c r="F238" i="42"/>
  <c r="E238" i="42"/>
  <c r="D238" i="42"/>
  <c r="F237" i="42"/>
  <c r="E237" i="42"/>
  <c r="D237" i="42"/>
  <c r="F236" i="42"/>
  <c r="E236" i="42"/>
  <c r="D236" i="42"/>
  <c r="C236" i="42"/>
  <c r="C230" i="42"/>
  <c r="C224" i="42"/>
  <c r="F219" i="42"/>
  <c r="E219" i="42"/>
  <c r="D219" i="42"/>
  <c r="F218" i="42"/>
  <c r="E218" i="42"/>
  <c r="D218" i="42"/>
  <c r="F217" i="42"/>
  <c r="E217" i="42"/>
  <c r="D217" i="42"/>
  <c r="F210" i="42"/>
  <c r="E210" i="42"/>
  <c r="F209" i="42"/>
  <c r="E209" i="42"/>
  <c r="D209" i="42"/>
  <c r="F208" i="42"/>
  <c r="E208" i="42"/>
  <c r="D208" i="42"/>
  <c r="C207" i="42"/>
  <c r="C267" i="42" s="1"/>
  <c r="C198" i="42"/>
  <c r="C199" i="42" s="1"/>
  <c r="F181" i="42"/>
  <c r="F192" i="42" s="1"/>
  <c r="E181" i="42"/>
  <c r="E193" i="42" s="1"/>
  <c r="D181" i="42"/>
  <c r="D192" i="42" s="1"/>
  <c r="F180" i="42"/>
  <c r="E180" i="42"/>
  <c r="D180" i="42"/>
  <c r="C180" i="42"/>
  <c r="C182" i="42" s="1"/>
  <c r="F162" i="42"/>
  <c r="F163" i="42" s="1"/>
  <c r="E162" i="42"/>
  <c r="E163" i="42" s="1"/>
  <c r="D162" i="42"/>
  <c r="D163" i="42" s="1"/>
  <c r="C162" i="42"/>
  <c r="C163" i="42" s="1"/>
  <c r="F156" i="42"/>
  <c r="E156" i="42"/>
  <c r="D156" i="42"/>
  <c r="F155" i="42"/>
  <c r="E155" i="42"/>
  <c r="D155" i="42"/>
  <c r="F154" i="42"/>
  <c r="E154" i="42"/>
  <c r="D154" i="42"/>
  <c r="C154" i="42"/>
  <c r="C149" i="42"/>
  <c r="C148" i="42"/>
  <c r="C147" i="42"/>
  <c r="C146" i="42"/>
  <c r="F142" i="42"/>
  <c r="F143" i="42" s="1"/>
  <c r="E142" i="42"/>
  <c r="E143" i="42" s="1"/>
  <c r="D142" i="42"/>
  <c r="D143" i="42" s="1"/>
  <c r="C142" i="42"/>
  <c r="C143" i="42" s="1"/>
  <c r="F136" i="42"/>
  <c r="E136" i="42"/>
  <c r="D136" i="42"/>
  <c r="F135" i="42"/>
  <c r="E135" i="42"/>
  <c r="D135" i="42"/>
  <c r="F134" i="42"/>
  <c r="E134" i="42"/>
  <c r="D134" i="42"/>
  <c r="C134" i="42"/>
  <c r="C122" i="42"/>
  <c r="C123" i="42" s="1"/>
  <c r="F107" i="42"/>
  <c r="E107" i="42"/>
  <c r="F105" i="42"/>
  <c r="F117" i="42" s="1"/>
  <c r="E105" i="42"/>
  <c r="E116" i="42" s="1"/>
  <c r="D105" i="42"/>
  <c r="D117" i="42" s="1"/>
  <c r="C104" i="42"/>
  <c r="D107" i="42" s="1"/>
  <c r="F88" i="42"/>
  <c r="F89" i="42" s="1"/>
  <c r="E88" i="42"/>
  <c r="E89" i="42" s="1"/>
  <c r="D88" i="42"/>
  <c r="D89" i="42" s="1"/>
  <c r="C88" i="42"/>
  <c r="C89" i="42" s="1"/>
  <c r="F82" i="42"/>
  <c r="E82" i="42"/>
  <c r="D82" i="42"/>
  <c r="F81" i="42"/>
  <c r="E81" i="42"/>
  <c r="D81" i="42"/>
  <c r="F80" i="42"/>
  <c r="E80" i="42"/>
  <c r="D80" i="42"/>
  <c r="C80" i="42"/>
  <c r="F65" i="42"/>
  <c r="F66" i="42" s="1"/>
  <c r="E65" i="42"/>
  <c r="E66" i="42" s="1"/>
  <c r="D65" i="42"/>
  <c r="D66" i="42" s="1"/>
  <c r="C65" i="42"/>
  <c r="C66" i="42" s="1"/>
  <c r="F59" i="42"/>
  <c r="E59" i="42"/>
  <c r="D59" i="42"/>
  <c r="F58" i="42"/>
  <c r="E58" i="42"/>
  <c r="D58" i="42"/>
  <c r="F57" i="42"/>
  <c r="E57" i="42"/>
  <c r="D57" i="42"/>
  <c r="C57" i="42"/>
  <c r="C45" i="42"/>
  <c r="C46" i="42" s="1"/>
  <c r="F30" i="42"/>
  <c r="F40" i="42" s="1"/>
  <c r="E30" i="42"/>
  <c r="E40" i="42" s="1"/>
  <c r="D30" i="42"/>
  <c r="D40" i="42" s="1"/>
  <c r="F29" i="42"/>
  <c r="E29" i="42"/>
  <c r="D29" i="42"/>
  <c r="C29" i="42"/>
  <c r="C31" i="42" s="1"/>
  <c r="F16" i="42"/>
  <c r="E16" i="42"/>
  <c r="D16" i="42"/>
  <c r="C16" i="42"/>
  <c r="B16" i="42"/>
  <c r="F15" i="42"/>
  <c r="E15" i="42"/>
  <c r="D15" i="42"/>
  <c r="C15" i="42"/>
  <c r="B15" i="42"/>
  <c r="F14" i="42"/>
  <c r="E14" i="42"/>
  <c r="D14" i="42"/>
  <c r="C14" i="42"/>
  <c r="B14" i="42"/>
  <c r="C4" i="42"/>
  <c r="E239" i="42" l="1"/>
  <c r="D283" i="42"/>
  <c r="D32" i="42"/>
  <c r="F83" i="42"/>
  <c r="D183" i="42"/>
  <c r="D239" i="42"/>
  <c r="E60" i="42"/>
  <c r="D116" i="42"/>
  <c r="E224" i="42"/>
  <c r="E225" i="42" s="1"/>
  <c r="E157" i="42"/>
  <c r="D182" i="42"/>
  <c r="D185" i="42" s="1"/>
  <c r="D191" i="42"/>
  <c r="E192" i="42"/>
  <c r="F60" i="42"/>
  <c r="D60" i="42"/>
  <c r="D157" i="42"/>
  <c r="E183" i="42"/>
  <c r="D224" i="42"/>
  <c r="D225" i="42" s="1"/>
  <c r="F285" i="42"/>
  <c r="E32" i="42"/>
  <c r="D83" i="42"/>
  <c r="E137" i="42"/>
  <c r="F157" i="42"/>
  <c r="F183" i="42"/>
  <c r="E259" i="42"/>
  <c r="F32" i="42"/>
  <c r="E39" i="42"/>
  <c r="F193" i="42"/>
  <c r="F239" i="42"/>
  <c r="C225" i="42"/>
  <c r="F116" i="42"/>
  <c r="C208" i="42"/>
  <c r="D211" i="42" s="1"/>
  <c r="F259" i="42"/>
  <c r="F283" i="42"/>
  <c r="E285" i="42"/>
  <c r="D137" i="42"/>
  <c r="F184" i="42"/>
  <c r="E211" i="42"/>
  <c r="F224" i="42"/>
  <c r="F225" i="42" s="1"/>
  <c r="D259" i="42"/>
  <c r="D285" i="42"/>
  <c r="D286" i="42"/>
  <c r="F286" i="42"/>
  <c r="D31" i="42"/>
  <c r="D34" i="42" s="1"/>
  <c r="F31" i="42"/>
  <c r="D33" i="42"/>
  <c r="F33" i="42"/>
  <c r="D38" i="42"/>
  <c r="F38" i="42"/>
  <c r="C106" i="42"/>
  <c r="E115" i="42"/>
  <c r="F267" i="42"/>
  <c r="E267" i="42"/>
  <c r="E31" i="42"/>
  <c r="E33" i="42"/>
  <c r="E38" i="42"/>
  <c r="D39" i="42"/>
  <c r="F39" i="42"/>
  <c r="E83" i="42"/>
  <c r="E106" i="42"/>
  <c r="E108" i="42"/>
  <c r="E117" i="42"/>
  <c r="F137" i="42"/>
  <c r="F182" i="42"/>
  <c r="D184" i="42"/>
  <c r="F191" i="42"/>
  <c r="D193" i="42"/>
  <c r="D198" i="42" s="1"/>
  <c r="D199" i="42" s="1"/>
  <c r="F211" i="42"/>
  <c r="C286" i="42"/>
  <c r="C268" i="42" s="1"/>
  <c r="E286" i="42"/>
  <c r="E287" i="42" s="1"/>
  <c r="D267" i="42"/>
  <c r="F274" i="42"/>
  <c r="D106" i="42"/>
  <c r="F106" i="42"/>
  <c r="D108" i="42"/>
  <c r="F108" i="42"/>
  <c r="D115" i="42"/>
  <c r="F115" i="42"/>
  <c r="E182" i="42"/>
  <c r="E185" i="42" s="1"/>
  <c r="E184" i="42"/>
  <c r="E191" i="42"/>
  <c r="E198" i="42" s="1"/>
  <c r="E199" i="42" s="1"/>
  <c r="D210" i="42"/>
  <c r="F198" i="42" l="1"/>
  <c r="F199" i="42" s="1"/>
  <c r="E122" i="42"/>
  <c r="E123" i="42" s="1"/>
  <c r="F272" i="42"/>
  <c r="F122" i="42"/>
  <c r="F123" i="42" s="1"/>
  <c r="F109" i="42"/>
  <c r="D122" i="42"/>
  <c r="D123" i="42" s="1"/>
  <c r="D272" i="42"/>
  <c r="D273" i="42" s="1"/>
  <c r="E272" i="42"/>
  <c r="F273" i="42"/>
  <c r="E34" i="42"/>
  <c r="F185" i="42"/>
  <c r="D109" i="42"/>
  <c r="C288" i="42"/>
  <c r="E274" i="42"/>
  <c r="D270" i="42"/>
  <c r="D45" i="42"/>
  <c r="D46" i="42" s="1"/>
  <c r="E273" i="42"/>
  <c r="F287" i="42"/>
  <c r="E109" i="42"/>
  <c r="E270" i="42"/>
  <c r="D274" i="42"/>
  <c r="D275" i="42" s="1"/>
  <c r="E45" i="42"/>
  <c r="E46" i="42" s="1"/>
  <c r="F270" i="42"/>
  <c r="F34" i="42"/>
  <c r="F45" i="42"/>
  <c r="F46" i="42" s="1"/>
  <c r="D287" i="42"/>
  <c r="F268" i="42" l="1"/>
  <c r="F271" i="42"/>
  <c r="E275" i="42"/>
  <c r="E271" i="42"/>
  <c r="E268" i="42"/>
  <c r="F275" i="42"/>
  <c r="D268" i="42"/>
  <c r="D271" i="42"/>
  <c r="D288" i="42" l="1"/>
  <c r="D269" i="42"/>
  <c r="E269" i="42"/>
  <c r="E288" i="42"/>
  <c r="F288" i="42"/>
  <c r="F269" i="42"/>
  <c r="F373" i="40" l="1"/>
  <c r="E373" i="40"/>
  <c r="D373" i="40"/>
  <c r="F371" i="40"/>
  <c r="E371" i="40"/>
  <c r="D371" i="40"/>
  <c r="C371" i="40"/>
  <c r="D361" i="40"/>
  <c r="F346" i="40"/>
  <c r="F361" i="40" s="1"/>
  <c r="E346" i="40"/>
  <c r="E361" i="40" s="1"/>
  <c r="C346" i="40"/>
  <c r="F345" i="40"/>
  <c r="F359" i="40" s="1"/>
  <c r="E345" i="40"/>
  <c r="E359" i="40" s="1"/>
  <c r="D345" i="40"/>
  <c r="D359" i="40" s="1"/>
  <c r="C345" i="40"/>
  <c r="C359" i="40" s="1"/>
  <c r="F344" i="40"/>
  <c r="F357" i="40" s="1"/>
  <c r="E344" i="40"/>
  <c r="E357" i="40" s="1"/>
  <c r="D344" i="40"/>
  <c r="D357" i="40" s="1"/>
  <c r="C344" i="40"/>
  <c r="C357" i="40" s="1"/>
  <c r="F340" i="40"/>
  <c r="E340" i="40"/>
  <c r="D340" i="40"/>
  <c r="F338" i="40"/>
  <c r="E338" i="40"/>
  <c r="D338" i="40"/>
  <c r="F322" i="40"/>
  <c r="E322" i="40"/>
  <c r="D322" i="40"/>
  <c r="C322" i="40"/>
  <c r="F315" i="40"/>
  <c r="E315" i="40"/>
  <c r="D315" i="40"/>
  <c r="F314" i="40"/>
  <c r="E314" i="40"/>
  <c r="D314" i="40"/>
  <c r="F313" i="40"/>
  <c r="E313" i="40"/>
  <c r="D313" i="40"/>
  <c r="C313" i="40"/>
  <c r="F301" i="40"/>
  <c r="E301" i="40"/>
  <c r="E291" i="40" s="1"/>
  <c r="E292" i="40" s="1"/>
  <c r="D301" i="40"/>
  <c r="C300" i="40"/>
  <c r="C373" i="40" s="1"/>
  <c r="D294" i="40"/>
  <c r="F293" i="40"/>
  <c r="E293" i="40"/>
  <c r="D293" i="40"/>
  <c r="D292" i="40"/>
  <c r="C292" i="40"/>
  <c r="D295" i="40" s="1"/>
  <c r="F291" i="40"/>
  <c r="F279" i="40"/>
  <c r="F280" i="40" s="1"/>
  <c r="E279" i="40"/>
  <c r="E280" i="40" s="1"/>
  <c r="D279" i="40"/>
  <c r="D280" i="40" s="1"/>
  <c r="C279" i="40"/>
  <c r="C280" i="40" s="1"/>
  <c r="F267" i="40"/>
  <c r="E267" i="40"/>
  <c r="D267" i="40"/>
  <c r="F266" i="40"/>
  <c r="E266" i="40"/>
  <c r="D266" i="40"/>
  <c r="F265" i="40"/>
  <c r="E265" i="40"/>
  <c r="D265" i="40"/>
  <c r="C265" i="40"/>
  <c r="F256" i="40"/>
  <c r="F257" i="40" s="1"/>
  <c r="E256" i="40"/>
  <c r="E257" i="40" s="1"/>
  <c r="D256" i="40"/>
  <c r="D257" i="40" s="1"/>
  <c r="C256" i="40"/>
  <c r="C257" i="40" s="1"/>
  <c r="F244" i="40"/>
  <c r="E244" i="40"/>
  <c r="D244" i="40"/>
  <c r="F243" i="40"/>
  <c r="E243" i="40"/>
  <c r="D243" i="40"/>
  <c r="F242" i="40"/>
  <c r="E242" i="40"/>
  <c r="D242" i="40"/>
  <c r="C242" i="40"/>
  <c r="F227" i="40"/>
  <c r="E227" i="40"/>
  <c r="D227" i="40"/>
  <c r="C227" i="40"/>
  <c r="C218" i="40"/>
  <c r="F206" i="40"/>
  <c r="E206" i="40"/>
  <c r="E189" i="40" s="1"/>
  <c r="D206" i="40"/>
  <c r="D189" i="40" s="1"/>
  <c r="C206" i="40"/>
  <c r="C189" i="40" s="1"/>
  <c r="F191" i="40"/>
  <c r="E191" i="40"/>
  <c r="D191" i="40"/>
  <c r="F174" i="40"/>
  <c r="E174" i="40"/>
  <c r="D174" i="40"/>
  <c r="C174" i="40"/>
  <c r="F167" i="40"/>
  <c r="E167" i="40"/>
  <c r="D167" i="40"/>
  <c r="F166" i="40"/>
  <c r="E166" i="40"/>
  <c r="D166" i="40"/>
  <c r="F165" i="40"/>
  <c r="E165" i="40"/>
  <c r="D165" i="40"/>
  <c r="C165" i="40"/>
  <c r="F156" i="40"/>
  <c r="E156" i="40"/>
  <c r="D156" i="40"/>
  <c r="C156" i="40"/>
  <c r="F149" i="40"/>
  <c r="E149" i="40"/>
  <c r="D149" i="40"/>
  <c r="F148" i="40"/>
  <c r="E148" i="40"/>
  <c r="D148" i="40"/>
  <c r="F147" i="40"/>
  <c r="E147" i="40"/>
  <c r="D147" i="40"/>
  <c r="C147" i="40"/>
  <c r="F136" i="40"/>
  <c r="E136" i="40"/>
  <c r="D136" i="40"/>
  <c r="C136" i="40"/>
  <c r="F129" i="40"/>
  <c r="E129" i="40"/>
  <c r="D129" i="40"/>
  <c r="F128" i="40"/>
  <c r="E128" i="40"/>
  <c r="D128" i="40"/>
  <c r="F127" i="40"/>
  <c r="E127" i="40"/>
  <c r="E130" i="40" s="1"/>
  <c r="D127" i="40"/>
  <c r="C127" i="40"/>
  <c r="F115" i="40"/>
  <c r="E115" i="40"/>
  <c r="D115" i="40"/>
  <c r="C115" i="40"/>
  <c r="F108" i="40"/>
  <c r="E108" i="40"/>
  <c r="D108" i="40"/>
  <c r="F107" i="40"/>
  <c r="E107" i="40"/>
  <c r="D107" i="40"/>
  <c r="F106" i="40"/>
  <c r="E106" i="40"/>
  <c r="D106" i="40"/>
  <c r="C106" i="40"/>
  <c r="F93" i="40"/>
  <c r="F94" i="40" s="1"/>
  <c r="E93" i="40"/>
  <c r="E94" i="40" s="1"/>
  <c r="D93" i="40"/>
  <c r="D94" i="40" s="1"/>
  <c r="C93" i="40"/>
  <c r="C94" i="40" s="1"/>
  <c r="F81" i="40"/>
  <c r="E81" i="40"/>
  <c r="D81" i="40"/>
  <c r="F80" i="40"/>
  <c r="E80" i="40"/>
  <c r="D80" i="40"/>
  <c r="F79" i="40"/>
  <c r="E79" i="40"/>
  <c r="D79" i="40"/>
  <c r="C79" i="40"/>
  <c r="F70" i="40"/>
  <c r="F71" i="40" s="1"/>
  <c r="E70" i="40"/>
  <c r="E71" i="40" s="1"/>
  <c r="D70" i="40"/>
  <c r="D71" i="40" s="1"/>
  <c r="C70" i="40"/>
  <c r="C71" i="40" s="1"/>
  <c r="F58" i="40"/>
  <c r="E58" i="40"/>
  <c r="D58" i="40"/>
  <c r="F57" i="40"/>
  <c r="E57" i="40"/>
  <c r="D57" i="40"/>
  <c r="F56" i="40"/>
  <c r="E56" i="40"/>
  <c r="D56" i="40"/>
  <c r="C56" i="40"/>
  <c r="F47" i="40"/>
  <c r="F48" i="40" s="1"/>
  <c r="E47" i="40"/>
  <c r="E48" i="40" s="1"/>
  <c r="D47" i="40"/>
  <c r="D48" i="40" s="1"/>
  <c r="C47" i="40"/>
  <c r="C48" i="40" s="1"/>
  <c r="F35" i="40"/>
  <c r="E35" i="40"/>
  <c r="D35" i="40"/>
  <c r="F34" i="40"/>
  <c r="E34" i="40"/>
  <c r="D34" i="40"/>
  <c r="F33" i="40"/>
  <c r="E33" i="40"/>
  <c r="E36" i="40" s="1"/>
  <c r="D33" i="40"/>
  <c r="C33" i="40"/>
  <c r="D168" i="40" l="1"/>
  <c r="E374" i="40"/>
  <c r="E59" i="40"/>
  <c r="D360" i="40"/>
  <c r="F59" i="40"/>
  <c r="D82" i="40"/>
  <c r="D130" i="40"/>
  <c r="E295" i="40"/>
  <c r="E360" i="40"/>
  <c r="D150" i="40"/>
  <c r="F268" i="40"/>
  <c r="E245" i="40"/>
  <c r="F294" i="40"/>
  <c r="C301" i="40"/>
  <c r="C351" i="40"/>
  <c r="C336" i="40" s="1"/>
  <c r="D109" i="40"/>
  <c r="F130" i="40"/>
  <c r="E168" i="40"/>
  <c r="F245" i="40"/>
  <c r="D268" i="40"/>
  <c r="F36" i="40"/>
  <c r="F82" i="40"/>
  <c r="E150" i="40"/>
  <c r="F316" i="40"/>
  <c r="C361" i="40"/>
  <c r="C355" i="40" s="1"/>
  <c r="E192" i="40"/>
  <c r="D36" i="40"/>
  <c r="E109" i="40"/>
  <c r="F109" i="40"/>
  <c r="F150" i="40"/>
  <c r="F168" i="40"/>
  <c r="D245" i="40"/>
  <c r="E268" i="40"/>
  <c r="E316" i="40"/>
  <c r="D372" i="40"/>
  <c r="D59" i="40"/>
  <c r="E82" i="40"/>
  <c r="E207" i="40"/>
  <c r="D207" i="40"/>
  <c r="F374" i="40"/>
  <c r="F355" i="40"/>
  <c r="F358" i="40"/>
  <c r="F360" i="40"/>
  <c r="D374" i="40"/>
  <c r="C190" i="40"/>
  <c r="E358" i="40"/>
  <c r="D358" i="40"/>
  <c r="D355" i="40"/>
  <c r="F292" i="40"/>
  <c r="F295" i="40" s="1"/>
  <c r="E190" i="40"/>
  <c r="E294" i="40"/>
  <c r="D316" i="40"/>
  <c r="D351" i="40"/>
  <c r="D190" i="40"/>
  <c r="C207" i="40"/>
  <c r="F189" i="40"/>
  <c r="D192" i="40"/>
  <c r="E351" i="40"/>
  <c r="E355" i="40"/>
  <c r="F351" i="40"/>
  <c r="C352" i="40" l="1"/>
  <c r="C354" i="40"/>
  <c r="C375" i="40" s="1"/>
  <c r="D193" i="40"/>
  <c r="E193" i="40"/>
  <c r="D356" i="40"/>
  <c r="E336" i="40"/>
  <c r="E352" i="40" s="1"/>
  <c r="F356" i="40"/>
  <c r="E356" i="40"/>
  <c r="F336" i="40"/>
  <c r="F190" i="40"/>
  <c r="F193" i="40" s="1"/>
  <c r="F192" i="40"/>
  <c r="D336" i="40"/>
  <c r="F207" i="40"/>
  <c r="F339" i="40" l="1"/>
  <c r="F352" i="40"/>
  <c r="F354" i="40"/>
  <c r="F375" i="40" s="1"/>
  <c r="D339" i="40"/>
  <c r="D354" i="40"/>
  <c r="D375" i="40" s="1"/>
  <c r="D352" i="40"/>
  <c r="E339" i="40"/>
  <c r="E354" i="40"/>
  <c r="E375" i="40" s="1"/>
  <c r="F256" i="39" l="1"/>
  <c r="E256" i="39"/>
  <c r="F251" i="39"/>
  <c r="E251" i="39"/>
  <c r="D251" i="39"/>
  <c r="C251" i="39"/>
  <c r="F244" i="39"/>
  <c r="E244" i="39"/>
  <c r="D244" i="39"/>
  <c r="F243" i="39"/>
  <c r="E243" i="39"/>
  <c r="D243" i="39"/>
  <c r="F242" i="39"/>
  <c r="E242" i="39"/>
  <c r="D242" i="39"/>
  <c r="C242" i="39"/>
  <c r="F230" i="39"/>
  <c r="E230" i="39"/>
  <c r="D230" i="39"/>
  <c r="C230" i="39"/>
  <c r="F223" i="39"/>
  <c r="E223" i="39"/>
  <c r="D223" i="39"/>
  <c r="F222" i="39"/>
  <c r="E222" i="39"/>
  <c r="D222" i="39"/>
  <c r="F221" i="39"/>
  <c r="F224" i="39" s="1"/>
  <c r="E221" i="39"/>
  <c r="D221" i="39"/>
  <c r="C221" i="39"/>
  <c r="F206" i="39"/>
  <c r="F210" i="39" s="1"/>
  <c r="E206" i="39"/>
  <c r="D206" i="39"/>
  <c r="D210" i="39" s="1"/>
  <c r="C206" i="39"/>
  <c r="C210" i="39" s="1"/>
  <c r="F205" i="39"/>
  <c r="E205" i="39"/>
  <c r="D205" i="39"/>
  <c r="F204" i="39"/>
  <c r="E204" i="39"/>
  <c r="D204" i="39"/>
  <c r="F202" i="39"/>
  <c r="E202" i="39"/>
  <c r="D202" i="39"/>
  <c r="F201" i="39"/>
  <c r="E201" i="39"/>
  <c r="D201" i="39"/>
  <c r="F198" i="39"/>
  <c r="F199" i="39" s="1"/>
  <c r="E198" i="39"/>
  <c r="E199" i="39" s="1"/>
  <c r="D198" i="39"/>
  <c r="D199" i="39" s="1"/>
  <c r="F196" i="39"/>
  <c r="E196" i="39"/>
  <c r="D196" i="39"/>
  <c r="F195" i="39"/>
  <c r="E195" i="39"/>
  <c r="D195" i="39"/>
  <c r="F193" i="39"/>
  <c r="E193" i="39"/>
  <c r="D193" i="39"/>
  <c r="F192" i="39"/>
  <c r="E192" i="39"/>
  <c r="D192" i="39"/>
  <c r="F186" i="39"/>
  <c r="E186" i="39"/>
  <c r="D186" i="39"/>
  <c r="F185" i="39"/>
  <c r="E185" i="39"/>
  <c r="D185" i="39"/>
  <c r="F184" i="39"/>
  <c r="E184" i="39"/>
  <c r="D184" i="39"/>
  <c r="C184" i="39"/>
  <c r="F172" i="39"/>
  <c r="F176" i="39" s="1"/>
  <c r="E172" i="39"/>
  <c r="D172" i="39"/>
  <c r="D176" i="39" s="1"/>
  <c r="C172" i="39"/>
  <c r="C176" i="39" s="1"/>
  <c r="F171" i="39"/>
  <c r="E171" i="39"/>
  <c r="D171" i="39"/>
  <c r="F170" i="39"/>
  <c r="E170" i="39"/>
  <c r="D170" i="39"/>
  <c r="F168" i="39"/>
  <c r="E168" i="39"/>
  <c r="D168" i="39"/>
  <c r="F167" i="39"/>
  <c r="E167" i="39"/>
  <c r="D167" i="39"/>
  <c r="F164" i="39"/>
  <c r="F165" i="39" s="1"/>
  <c r="E164" i="39"/>
  <c r="E165" i="39" s="1"/>
  <c r="D164" i="39"/>
  <c r="D165" i="39" s="1"/>
  <c r="F162" i="39"/>
  <c r="E162" i="39"/>
  <c r="D162" i="39"/>
  <c r="F161" i="39"/>
  <c r="E161" i="39"/>
  <c r="D161" i="39"/>
  <c r="F159" i="39"/>
  <c r="E159" i="39"/>
  <c r="D159" i="39"/>
  <c r="F158" i="39"/>
  <c r="E158" i="39"/>
  <c r="D158" i="39"/>
  <c r="F152" i="39"/>
  <c r="E152" i="39"/>
  <c r="D152" i="39"/>
  <c r="F151" i="39"/>
  <c r="E151" i="39"/>
  <c r="D151" i="39"/>
  <c r="F150" i="39"/>
  <c r="E150" i="39"/>
  <c r="D150" i="39"/>
  <c r="C150" i="39"/>
  <c r="F137" i="39"/>
  <c r="E137" i="39"/>
  <c r="D137" i="39"/>
  <c r="C137" i="39"/>
  <c r="F130" i="39"/>
  <c r="E130" i="39"/>
  <c r="D130" i="39"/>
  <c r="F129" i="39"/>
  <c r="E129" i="39"/>
  <c r="D129" i="39"/>
  <c r="F128" i="39"/>
  <c r="F131" i="39" s="1"/>
  <c r="E128" i="39"/>
  <c r="D128" i="39"/>
  <c r="C128" i="39"/>
  <c r="F116" i="39"/>
  <c r="E116" i="39"/>
  <c r="D116" i="39"/>
  <c r="C116" i="39"/>
  <c r="F109" i="39"/>
  <c r="E109" i="39"/>
  <c r="D109" i="39"/>
  <c r="F108" i="39"/>
  <c r="E108" i="39"/>
  <c r="D108" i="39"/>
  <c r="F107" i="39"/>
  <c r="E107" i="39"/>
  <c r="F110" i="39" s="1"/>
  <c r="D107" i="39"/>
  <c r="D110" i="39" s="1"/>
  <c r="C107" i="39"/>
  <c r="F92" i="39"/>
  <c r="F96" i="39" s="1"/>
  <c r="E92" i="39"/>
  <c r="D92" i="39"/>
  <c r="D69" i="39" s="1"/>
  <c r="C92" i="39"/>
  <c r="C96" i="39" s="1"/>
  <c r="F91" i="39"/>
  <c r="E91" i="39"/>
  <c r="D91" i="39"/>
  <c r="F90" i="39"/>
  <c r="E90" i="39"/>
  <c r="D90" i="39"/>
  <c r="F88" i="39"/>
  <c r="E88" i="39"/>
  <c r="D88" i="39"/>
  <c r="F87" i="39"/>
  <c r="E87" i="39"/>
  <c r="D87" i="39"/>
  <c r="F85" i="39"/>
  <c r="E85" i="39"/>
  <c r="D85" i="39"/>
  <c r="F84" i="39"/>
  <c r="E84" i="39"/>
  <c r="D84" i="39"/>
  <c r="F82" i="39"/>
  <c r="E82" i="39"/>
  <c r="D82" i="39"/>
  <c r="F81" i="39"/>
  <c r="E81" i="39"/>
  <c r="D81" i="39"/>
  <c r="F79" i="39"/>
  <c r="E79" i="39"/>
  <c r="D79" i="39"/>
  <c r="F78" i="39"/>
  <c r="E78" i="39"/>
  <c r="D78" i="39"/>
  <c r="F72" i="39"/>
  <c r="F71" i="39"/>
  <c r="E71" i="39"/>
  <c r="D71" i="39"/>
  <c r="F70" i="39"/>
  <c r="F73" i="39" s="1"/>
  <c r="E70" i="39"/>
  <c r="C70" i="39"/>
  <c r="F58" i="39"/>
  <c r="F62" i="39" s="1"/>
  <c r="E58" i="39"/>
  <c r="E62" i="39" s="1"/>
  <c r="D58" i="39"/>
  <c r="C58" i="39"/>
  <c r="F57" i="39"/>
  <c r="E57" i="39"/>
  <c r="D57" i="39"/>
  <c r="F56" i="39"/>
  <c r="E56" i="39"/>
  <c r="D56" i="39"/>
  <c r="F54" i="39"/>
  <c r="E54" i="39"/>
  <c r="D54" i="39"/>
  <c r="F53" i="39"/>
  <c r="E53" i="39"/>
  <c r="D53" i="39"/>
  <c r="F50" i="39"/>
  <c r="F51" i="39" s="1"/>
  <c r="E50" i="39"/>
  <c r="E51" i="39" s="1"/>
  <c r="D50" i="39"/>
  <c r="D51" i="39" s="1"/>
  <c r="F48" i="39"/>
  <c r="E48" i="39"/>
  <c r="D48" i="39"/>
  <c r="F47" i="39"/>
  <c r="E47" i="39"/>
  <c r="D47" i="39"/>
  <c r="F45" i="39"/>
  <c r="E45" i="39"/>
  <c r="D45" i="39"/>
  <c r="F44" i="39"/>
  <c r="E44" i="39"/>
  <c r="D44" i="39"/>
  <c r="F38" i="39"/>
  <c r="F37" i="39"/>
  <c r="E37" i="39"/>
  <c r="D37" i="39"/>
  <c r="F36" i="39"/>
  <c r="E36" i="39"/>
  <c r="C35" i="39"/>
  <c r="C256" i="39" s="1"/>
  <c r="C3" i="39"/>
  <c r="F39" i="39" l="1"/>
  <c r="C62" i="39"/>
  <c r="D187" i="39"/>
  <c r="E245" i="39"/>
  <c r="C36" i="39"/>
  <c r="E131" i="39"/>
  <c r="F153" i="39"/>
  <c r="E153" i="39"/>
  <c r="F187" i="39"/>
  <c r="E224" i="39"/>
  <c r="F245" i="39"/>
  <c r="D153" i="39"/>
  <c r="D224" i="39"/>
  <c r="D245" i="39"/>
  <c r="E257" i="39"/>
  <c r="D72" i="39"/>
  <c r="E72" i="39"/>
  <c r="D70" i="39"/>
  <c r="D73" i="39" s="1"/>
  <c r="E258" i="39"/>
  <c r="E110" i="39"/>
  <c r="D131" i="39"/>
  <c r="E187" i="39"/>
  <c r="F257" i="39"/>
  <c r="D96" i="39"/>
  <c r="D35" i="39"/>
  <c r="D62" i="39" s="1"/>
  <c r="C257" i="39"/>
  <c r="C262" i="39" s="1"/>
  <c r="F262" i="39" l="1"/>
  <c r="F258" i="39"/>
  <c r="E73" i="39"/>
  <c r="D258" i="39"/>
  <c r="D262" i="39"/>
  <c r="E38" i="39"/>
  <c r="D38" i="39"/>
  <c r="D36" i="39"/>
  <c r="E39" i="39" l="1"/>
  <c r="D39" i="39"/>
  <c r="F164" i="38" l="1"/>
  <c r="E164" i="38"/>
  <c r="D164" i="38"/>
  <c r="C164" i="38"/>
  <c r="F157" i="38"/>
  <c r="E157" i="38"/>
  <c r="D157" i="38"/>
  <c r="F156" i="38"/>
  <c r="E156" i="38"/>
  <c r="D156" i="38"/>
  <c r="F155" i="38"/>
  <c r="E155" i="38"/>
  <c r="D155" i="38"/>
  <c r="C155" i="38"/>
  <c r="F125" i="38"/>
  <c r="E125" i="38"/>
  <c r="D125" i="38"/>
  <c r="C125" i="38"/>
  <c r="F122" i="38"/>
  <c r="E122" i="38"/>
  <c r="D122" i="38"/>
  <c r="C122" i="38"/>
  <c r="F119" i="38"/>
  <c r="E119" i="38"/>
  <c r="D119" i="38"/>
  <c r="C119" i="38"/>
  <c r="C140" i="38" s="1"/>
  <c r="F113" i="38"/>
  <c r="E113" i="38"/>
  <c r="F111" i="38"/>
  <c r="F112" i="38" s="1"/>
  <c r="E111" i="38"/>
  <c r="D111" i="38"/>
  <c r="C111" i="38"/>
  <c r="C110" i="38"/>
  <c r="D113" i="38" s="1"/>
  <c r="F100" i="38"/>
  <c r="F85" i="38"/>
  <c r="E85" i="38"/>
  <c r="D85" i="38"/>
  <c r="C85" i="38"/>
  <c r="F82" i="38"/>
  <c r="E82" i="38"/>
  <c r="D82" i="38"/>
  <c r="C82" i="38"/>
  <c r="F79" i="38"/>
  <c r="E79" i="38"/>
  <c r="D79" i="38"/>
  <c r="C79" i="38"/>
  <c r="C100" i="38" s="1"/>
  <c r="F73" i="38"/>
  <c r="E73" i="38"/>
  <c r="D73" i="38"/>
  <c r="F71" i="38"/>
  <c r="F74" i="38" s="1"/>
  <c r="E71" i="38"/>
  <c r="D71" i="38"/>
  <c r="D72" i="38" s="1"/>
  <c r="C71" i="38"/>
  <c r="C72" i="38" s="1"/>
  <c r="F42" i="38"/>
  <c r="E42" i="38"/>
  <c r="D42" i="38"/>
  <c r="C42" i="38"/>
  <c r="F39" i="38"/>
  <c r="E39" i="38"/>
  <c r="D39" i="38"/>
  <c r="C39" i="38"/>
  <c r="F36" i="38"/>
  <c r="E36" i="38"/>
  <c r="D36" i="38"/>
  <c r="C36" i="38"/>
  <c r="C57" i="38" s="1"/>
  <c r="F28" i="38"/>
  <c r="E28" i="38"/>
  <c r="D28" i="38"/>
  <c r="C28" i="38"/>
  <c r="F27" i="38"/>
  <c r="E27" i="38"/>
  <c r="D27" i="38"/>
  <c r="C27" i="38"/>
  <c r="C14" i="38"/>
  <c r="F158" i="38" l="1"/>
  <c r="E158" i="38"/>
  <c r="F31" i="38"/>
  <c r="C112" i="38"/>
  <c r="E114" i="38"/>
  <c r="D29" i="38"/>
  <c r="D32" i="38" s="1"/>
  <c r="E30" i="38"/>
  <c r="E29" i="38"/>
  <c r="E57" i="38"/>
  <c r="E61" i="38" s="1"/>
  <c r="E74" i="38"/>
  <c r="D114" i="38"/>
  <c r="E140" i="38"/>
  <c r="E144" i="38" s="1"/>
  <c r="C168" i="38"/>
  <c r="F57" i="38"/>
  <c r="F61" i="38" s="1"/>
  <c r="F104" i="38"/>
  <c r="F114" i="38"/>
  <c r="F140" i="38"/>
  <c r="F144" i="38" s="1"/>
  <c r="D30" i="38"/>
  <c r="C29" i="38"/>
  <c r="D100" i="38"/>
  <c r="D104" i="38" s="1"/>
  <c r="D57" i="38"/>
  <c r="D61" i="38" s="1"/>
  <c r="E100" i="38"/>
  <c r="E104" i="38" s="1"/>
  <c r="D140" i="38"/>
  <c r="D144" i="38" s="1"/>
  <c r="D75" i="38"/>
  <c r="D112" i="38"/>
  <c r="D115" i="38" s="1"/>
  <c r="F29" i="38"/>
  <c r="F32" i="38" s="1"/>
  <c r="D31" i="38"/>
  <c r="F72" i="38"/>
  <c r="D74" i="38"/>
  <c r="E112" i="38"/>
  <c r="D158" i="38"/>
  <c r="E31" i="38"/>
  <c r="F30" i="38"/>
  <c r="E72" i="38"/>
  <c r="E75" i="38" s="1"/>
  <c r="E168" i="38" l="1"/>
  <c r="E32" i="38"/>
  <c r="F168" i="38"/>
  <c r="E115" i="38"/>
  <c r="D168" i="38"/>
  <c r="F75" i="38"/>
  <c r="F115" i="38"/>
  <c r="F260" i="37" l="1"/>
  <c r="E260" i="37"/>
  <c r="D260" i="37"/>
  <c r="D261" i="37" s="1"/>
  <c r="F258" i="37"/>
  <c r="E258" i="37"/>
  <c r="D258" i="37"/>
  <c r="C258" i="37"/>
  <c r="D259" i="37" s="1"/>
  <c r="F256" i="37"/>
  <c r="E256" i="37"/>
  <c r="D256" i="37"/>
  <c r="C256" i="37"/>
  <c r="F254" i="37"/>
  <c r="E254" i="37"/>
  <c r="D254" i="37"/>
  <c r="C254" i="37"/>
  <c r="D255" i="37" s="1"/>
  <c r="F252" i="37"/>
  <c r="E252" i="37"/>
  <c r="D252" i="37"/>
  <c r="C252" i="37"/>
  <c r="C251" i="37"/>
  <c r="F250" i="37"/>
  <c r="D250" i="37"/>
  <c r="C250" i="37"/>
  <c r="F248" i="37"/>
  <c r="D248" i="37"/>
  <c r="D246" i="37"/>
  <c r="F243" i="37"/>
  <c r="E243" i="37"/>
  <c r="D243" i="37"/>
  <c r="C243" i="37"/>
  <c r="F241" i="37"/>
  <c r="E241" i="37"/>
  <c r="D241" i="37"/>
  <c r="C241" i="37"/>
  <c r="F238" i="37"/>
  <c r="E238" i="37"/>
  <c r="D238" i="37"/>
  <c r="C238" i="37"/>
  <c r="F231" i="37"/>
  <c r="E231" i="37"/>
  <c r="D231" i="37"/>
  <c r="F230" i="37"/>
  <c r="E230" i="37"/>
  <c r="D230" i="37"/>
  <c r="F229" i="37"/>
  <c r="E229" i="37"/>
  <c r="D229" i="37"/>
  <c r="D232" i="37" s="1"/>
  <c r="F221" i="37"/>
  <c r="E221" i="37"/>
  <c r="D221" i="37"/>
  <c r="C221" i="37"/>
  <c r="F214" i="37"/>
  <c r="E214" i="37"/>
  <c r="D214" i="37"/>
  <c r="F213" i="37"/>
  <c r="E213" i="37"/>
  <c r="D213" i="37"/>
  <c r="F212" i="37"/>
  <c r="E212" i="37"/>
  <c r="D212" i="37"/>
  <c r="C212" i="37"/>
  <c r="F200" i="37"/>
  <c r="E200" i="37"/>
  <c r="D200" i="37"/>
  <c r="C200" i="37"/>
  <c r="F193" i="37"/>
  <c r="E193" i="37"/>
  <c r="D193" i="37"/>
  <c r="F192" i="37"/>
  <c r="E192" i="37"/>
  <c r="D192" i="37"/>
  <c r="F191" i="37"/>
  <c r="E191" i="37"/>
  <c r="D191" i="37"/>
  <c r="C191" i="37"/>
  <c r="F174" i="37"/>
  <c r="F175" i="37" s="1"/>
  <c r="E174" i="37"/>
  <c r="E175" i="37" s="1"/>
  <c r="D174" i="37"/>
  <c r="D175" i="37" s="1"/>
  <c r="C174" i="37"/>
  <c r="C175" i="37" s="1"/>
  <c r="F162" i="37"/>
  <c r="E162" i="37"/>
  <c r="D162" i="37"/>
  <c r="F161" i="37"/>
  <c r="E161" i="37"/>
  <c r="D161" i="37"/>
  <c r="F160" i="37"/>
  <c r="E160" i="37"/>
  <c r="D160" i="37"/>
  <c r="E163" i="37" s="1"/>
  <c r="C160" i="37"/>
  <c r="D151" i="37"/>
  <c r="D152" i="37" s="1"/>
  <c r="E146" i="37"/>
  <c r="E250" i="37" s="1"/>
  <c r="E251" i="37" s="1"/>
  <c r="E145" i="37"/>
  <c r="E248" i="37" s="1"/>
  <c r="C145" i="37"/>
  <c r="F144" i="37"/>
  <c r="F246" i="37" s="1"/>
  <c r="E144" i="37"/>
  <c r="E246" i="37" s="1"/>
  <c r="C144" i="37"/>
  <c r="C246" i="37" s="1"/>
  <c r="F139" i="37"/>
  <c r="E139" i="37"/>
  <c r="D139" i="37"/>
  <c r="F138" i="37"/>
  <c r="E138" i="37"/>
  <c r="D138" i="37"/>
  <c r="F137" i="37"/>
  <c r="E137" i="37"/>
  <c r="D137" i="37"/>
  <c r="C137" i="37"/>
  <c r="F121" i="37"/>
  <c r="F122" i="37" s="1"/>
  <c r="E121" i="37"/>
  <c r="E122" i="37" s="1"/>
  <c r="D121" i="37"/>
  <c r="D122" i="37" s="1"/>
  <c r="C121" i="37"/>
  <c r="C122" i="37" s="1"/>
  <c r="F109" i="37"/>
  <c r="E109" i="37"/>
  <c r="D109" i="37"/>
  <c r="F108" i="37"/>
  <c r="E108" i="37"/>
  <c r="D108" i="37"/>
  <c r="F107" i="37"/>
  <c r="E107" i="37"/>
  <c r="D107" i="37"/>
  <c r="E110" i="37" s="1"/>
  <c r="C107" i="37"/>
  <c r="F98" i="37"/>
  <c r="F99" i="37" s="1"/>
  <c r="E98" i="37"/>
  <c r="E99" i="37" s="1"/>
  <c r="D98" i="37"/>
  <c r="D99" i="37" s="1"/>
  <c r="C98" i="37"/>
  <c r="C99" i="37" s="1"/>
  <c r="F86" i="37"/>
  <c r="E86" i="37"/>
  <c r="D86" i="37"/>
  <c r="F85" i="37"/>
  <c r="E85" i="37"/>
  <c r="D85" i="37"/>
  <c r="F84" i="37"/>
  <c r="E84" i="37"/>
  <c r="D84" i="37"/>
  <c r="C84" i="37"/>
  <c r="F68" i="37"/>
  <c r="F69" i="37" s="1"/>
  <c r="E68" i="37"/>
  <c r="D68" i="37"/>
  <c r="D69" i="37" s="1"/>
  <c r="C68" i="37"/>
  <c r="F56" i="37"/>
  <c r="E56" i="37"/>
  <c r="D56" i="37"/>
  <c r="F55" i="37"/>
  <c r="E55" i="37"/>
  <c r="D55" i="37"/>
  <c r="F54" i="37"/>
  <c r="E54" i="37"/>
  <c r="D54" i="37"/>
  <c r="C54" i="37"/>
  <c r="F45" i="37"/>
  <c r="F46" i="37" s="1"/>
  <c r="E45" i="37"/>
  <c r="E46" i="37" s="1"/>
  <c r="D45" i="37"/>
  <c r="C45" i="37"/>
  <c r="C46" i="37" s="1"/>
  <c r="F33" i="37"/>
  <c r="E33" i="37"/>
  <c r="D33" i="37"/>
  <c r="F32" i="37"/>
  <c r="E32" i="37"/>
  <c r="D32" i="37"/>
  <c r="F31" i="37"/>
  <c r="E31" i="37"/>
  <c r="D31" i="37"/>
  <c r="C31" i="37"/>
  <c r="C151" i="37" l="1"/>
  <c r="C152" i="37" s="1"/>
  <c r="D87" i="37"/>
  <c r="F151" i="37"/>
  <c r="F152" i="37" s="1"/>
  <c r="F163" i="37"/>
  <c r="F247" i="37"/>
  <c r="F34" i="37"/>
  <c r="C262" i="37"/>
  <c r="E140" i="37"/>
  <c r="F232" i="37"/>
  <c r="D57" i="37"/>
  <c r="E247" i="37"/>
  <c r="D262" i="37"/>
  <c r="E257" i="37"/>
  <c r="E194" i="37"/>
  <c r="E57" i="37"/>
  <c r="D194" i="37"/>
  <c r="F249" i="37"/>
  <c r="F259" i="37"/>
  <c r="C244" i="37"/>
  <c r="C264" i="37" s="1"/>
  <c r="D251" i="37"/>
  <c r="E261" i="37"/>
  <c r="D140" i="37"/>
  <c r="E262" i="37"/>
  <c r="E255" i="37"/>
  <c r="E34" i="37"/>
  <c r="F57" i="37"/>
  <c r="D215" i="37"/>
  <c r="D253" i="37"/>
  <c r="D34" i="37"/>
  <c r="D244" i="37"/>
  <c r="D264" i="37" s="1"/>
  <c r="F87" i="37"/>
  <c r="F110" i="37"/>
  <c r="F262" i="37"/>
  <c r="F215" i="37"/>
  <c r="F253" i="37"/>
  <c r="F257" i="37"/>
  <c r="D263" i="37"/>
  <c r="F251" i="37"/>
  <c r="D245" i="37"/>
  <c r="D247" i="37"/>
  <c r="E69" i="37"/>
  <c r="F140" i="37"/>
  <c r="F194" i="37"/>
  <c r="E215" i="37"/>
  <c r="E232" i="37"/>
  <c r="C248" i="37"/>
  <c r="D249" i="37" s="1"/>
  <c r="E253" i="37"/>
  <c r="F255" i="37"/>
  <c r="F261" i="37"/>
  <c r="E87" i="37"/>
  <c r="D110" i="37"/>
  <c r="E151" i="37"/>
  <c r="E152" i="37" s="1"/>
  <c r="D163" i="37"/>
  <c r="E249" i="37"/>
  <c r="D257" i="37"/>
  <c r="E259" i="37"/>
  <c r="D46" i="37"/>
  <c r="C69" i="37"/>
  <c r="F244" i="37" l="1"/>
  <c r="F264" i="37" s="1"/>
  <c r="E263" i="37"/>
  <c r="F263" i="37"/>
  <c r="E244" i="37"/>
  <c r="F245" i="37" s="1"/>
  <c r="E245" i="37" l="1"/>
  <c r="E264" i="37"/>
  <c r="F108" i="36" l="1"/>
  <c r="E108" i="36"/>
  <c r="D108" i="36"/>
  <c r="C108" i="36"/>
  <c r="D109" i="36" s="1"/>
  <c r="F106" i="36"/>
  <c r="E106" i="36"/>
  <c r="D106" i="36"/>
  <c r="C106" i="36"/>
  <c r="F104" i="36"/>
  <c r="E104" i="36"/>
  <c r="D104" i="36"/>
  <c r="C104" i="36"/>
  <c r="F102" i="36"/>
  <c r="E102" i="36"/>
  <c r="D102" i="36"/>
  <c r="C102" i="36"/>
  <c r="F100" i="36"/>
  <c r="E100" i="36"/>
  <c r="D100" i="36"/>
  <c r="C100" i="36"/>
  <c r="F98" i="36"/>
  <c r="E98" i="36"/>
  <c r="D98" i="36"/>
  <c r="C98" i="36"/>
  <c r="F96" i="36"/>
  <c r="E96" i="36"/>
  <c r="D96" i="36"/>
  <c r="C96" i="36"/>
  <c r="F94" i="36"/>
  <c r="E94" i="36"/>
  <c r="D94" i="36"/>
  <c r="C94" i="36"/>
  <c r="F92" i="36"/>
  <c r="E92" i="36"/>
  <c r="D92" i="36"/>
  <c r="D90" i="36" s="1"/>
  <c r="C92" i="36"/>
  <c r="D93" i="36" s="1"/>
  <c r="F90" i="36"/>
  <c r="F89" i="36"/>
  <c r="E89" i="36"/>
  <c r="D89" i="36"/>
  <c r="C89" i="36"/>
  <c r="F42" i="36"/>
  <c r="F43" i="36" s="1"/>
  <c r="E42" i="36"/>
  <c r="E43" i="36" s="1"/>
  <c r="D42" i="36"/>
  <c r="D43" i="36" s="1"/>
  <c r="C42" i="36"/>
  <c r="C43" i="36" s="1"/>
  <c r="F30" i="36"/>
  <c r="E30" i="36"/>
  <c r="D30" i="36"/>
  <c r="F29" i="36"/>
  <c r="E29" i="36"/>
  <c r="D29" i="36"/>
  <c r="F28" i="36"/>
  <c r="E28" i="36"/>
  <c r="D28" i="36"/>
  <c r="C28" i="36"/>
  <c r="E97" i="36" l="1"/>
  <c r="E109" i="36"/>
  <c r="E31" i="36"/>
  <c r="F31" i="36"/>
  <c r="D31" i="36"/>
  <c r="D95" i="36"/>
  <c r="D97" i="36"/>
  <c r="E110" i="36"/>
  <c r="F110" i="36"/>
  <c r="F93" i="36"/>
  <c r="F109" i="36"/>
  <c r="D110" i="36"/>
  <c r="C90" i="36"/>
  <c r="C110" i="36" s="1"/>
  <c r="E93" i="36"/>
  <c r="F95" i="36"/>
  <c r="E95" i="36"/>
  <c r="F97" i="36"/>
  <c r="F91" i="36" l="1"/>
  <c r="E91" i="36"/>
  <c r="D91" i="36"/>
  <c r="F318" i="35" l="1"/>
  <c r="E318" i="35"/>
  <c r="D318" i="35"/>
  <c r="C318" i="35"/>
  <c r="F316" i="35"/>
  <c r="E316" i="35"/>
  <c r="D316" i="35"/>
  <c r="C316" i="35"/>
  <c r="F314" i="35"/>
  <c r="E314" i="35"/>
  <c r="D314" i="35"/>
  <c r="C314" i="35"/>
  <c r="F312" i="35"/>
  <c r="E312" i="35"/>
  <c r="D312" i="35"/>
  <c r="C312" i="35"/>
  <c r="F310" i="35"/>
  <c r="E310" i="35"/>
  <c r="D310" i="35"/>
  <c r="C310" i="35"/>
  <c r="F308" i="35"/>
  <c r="E308" i="35"/>
  <c r="D308" i="35"/>
  <c r="C308" i="35"/>
  <c r="F306" i="35"/>
  <c r="E306" i="35"/>
  <c r="D306" i="35"/>
  <c r="C306" i="35"/>
  <c r="F304" i="35"/>
  <c r="E304" i="35"/>
  <c r="D304" i="35"/>
  <c r="C304" i="35"/>
  <c r="F302" i="35"/>
  <c r="E302" i="35"/>
  <c r="E300" i="35" s="1"/>
  <c r="D302" i="35"/>
  <c r="D300" i="35" s="1"/>
  <c r="C302" i="35"/>
  <c r="F299" i="35"/>
  <c r="E299" i="35"/>
  <c r="C299" i="35"/>
  <c r="F297" i="35"/>
  <c r="E297" i="35"/>
  <c r="D297" i="35"/>
  <c r="C297" i="35"/>
  <c r="F290" i="35"/>
  <c r="E290" i="35"/>
  <c r="D290" i="35"/>
  <c r="F289" i="35"/>
  <c r="E289" i="35"/>
  <c r="D289" i="35"/>
  <c r="F288" i="35"/>
  <c r="F291" i="35" s="1"/>
  <c r="E288" i="35"/>
  <c r="D288" i="35"/>
  <c r="C288" i="35"/>
  <c r="F279" i="35"/>
  <c r="E279" i="35"/>
  <c r="D279" i="35"/>
  <c r="C279" i="35"/>
  <c r="F272" i="35"/>
  <c r="E272" i="35"/>
  <c r="D272" i="35"/>
  <c r="F271" i="35"/>
  <c r="E271" i="35"/>
  <c r="D271" i="35"/>
  <c r="F270" i="35"/>
  <c r="E270" i="35"/>
  <c r="D270" i="35"/>
  <c r="C270" i="35"/>
  <c r="F261" i="35"/>
  <c r="E261" i="35"/>
  <c r="D261" i="35"/>
  <c r="C261" i="35"/>
  <c r="F254" i="35"/>
  <c r="E254" i="35"/>
  <c r="D254" i="35"/>
  <c r="F253" i="35"/>
  <c r="E253" i="35"/>
  <c r="D253" i="35"/>
  <c r="F252" i="35"/>
  <c r="E252" i="35"/>
  <c r="D252" i="35"/>
  <c r="C252" i="35"/>
  <c r="F241" i="35"/>
  <c r="E241" i="35"/>
  <c r="D241" i="35"/>
  <c r="C241" i="35"/>
  <c r="F234" i="35"/>
  <c r="E234" i="35"/>
  <c r="D234" i="35"/>
  <c r="F233" i="35"/>
  <c r="E233" i="35"/>
  <c r="D233" i="35"/>
  <c r="F232" i="35"/>
  <c r="E232" i="35"/>
  <c r="D232" i="35"/>
  <c r="C232" i="35"/>
  <c r="F223" i="35"/>
  <c r="E223" i="35"/>
  <c r="D223" i="35"/>
  <c r="C223" i="35"/>
  <c r="F216" i="35"/>
  <c r="E216" i="35"/>
  <c r="D216" i="35"/>
  <c r="F215" i="35"/>
  <c r="E215" i="35"/>
  <c r="D215" i="35"/>
  <c r="F214" i="35"/>
  <c r="E214" i="35"/>
  <c r="D214" i="35"/>
  <c r="C214" i="35"/>
  <c r="F202" i="35"/>
  <c r="F203" i="35" s="1"/>
  <c r="E202" i="35"/>
  <c r="E203" i="35" s="1"/>
  <c r="D202" i="35"/>
  <c r="D203" i="35" s="1"/>
  <c r="C202" i="35"/>
  <c r="C203" i="35" s="1"/>
  <c r="F190" i="35"/>
  <c r="E190" i="35"/>
  <c r="D190" i="35"/>
  <c r="F189" i="35"/>
  <c r="E189" i="35"/>
  <c r="D189" i="35"/>
  <c r="F188" i="35"/>
  <c r="E188" i="35"/>
  <c r="D188" i="35"/>
  <c r="C188" i="35"/>
  <c r="F179" i="35"/>
  <c r="F180" i="35" s="1"/>
  <c r="E179" i="35"/>
  <c r="E180" i="35" s="1"/>
  <c r="D179" i="35"/>
  <c r="D180" i="35" s="1"/>
  <c r="C179" i="35"/>
  <c r="C180" i="35" s="1"/>
  <c r="F167" i="35"/>
  <c r="E167" i="35"/>
  <c r="D167" i="35"/>
  <c r="F166" i="35"/>
  <c r="E166" i="35"/>
  <c r="D166" i="35"/>
  <c r="F165" i="35"/>
  <c r="F168" i="35" s="1"/>
  <c r="E165" i="35"/>
  <c r="D165" i="35"/>
  <c r="C165" i="35"/>
  <c r="F148" i="35"/>
  <c r="E148" i="35"/>
  <c r="D148" i="35"/>
  <c r="C148" i="35"/>
  <c r="F141" i="35"/>
  <c r="E141" i="35"/>
  <c r="D141" i="35"/>
  <c r="F140" i="35"/>
  <c r="E140" i="35"/>
  <c r="D140" i="35"/>
  <c r="F139" i="35"/>
  <c r="E139" i="35"/>
  <c r="D139" i="35"/>
  <c r="C139" i="35"/>
  <c r="F130" i="35"/>
  <c r="E130" i="35"/>
  <c r="D130" i="35"/>
  <c r="C130" i="35"/>
  <c r="F123" i="35"/>
  <c r="E123" i="35"/>
  <c r="D123" i="35"/>
  <c r="F122" i="35"/>
  <c r="E122" i="35"/>
  <c r="D122" i="35"/>
  <c r="F121" i="35"/>
  <c r="E121" i="35"/>
  <c r="D121" i="35"/>
  <c r="C121" i="35"/>
  <c r="F110" i="35"/>
  <c r="E110" i="35"/>
  <c r="D110" i="35"/>
  <c r="C110" i="35"/>
  <c r="F103" i="35"/>
  <c r="E103" i="35"/>
  <c r="D103" i="35"/>
  <c r="F102" i="35"/>
  <c r="E102" i="35"/>
  <c r="D102" i="35"/>
  <c r="F101" i="35"/>
  <c r="E101" i="35"/>
  <c r="D101" i="35"/>
  <c r="C101" i="35"/>
  <c r="F89" i="35"/>
  <c r="E89" i="35"/>
  <c r="D89" i="35"/>
  <c r="C89" i="35"/>
  <c r="F82" i="35"/>
  <c r="E82" i="35"/>
  <c r="D82" i="35"/>
  <c r="F81" i="35"/>
  <c r="E81" i="35"/>
  <c r="D81" i="35"/>
  <c r="F80" i="35"/>
  <c r="E80" i="35"/>
  <c r="D80" i="35"/>
  <c r="C80" i="35"/>
  <c r="F68" i="35"/>
  <c r="F69" i="35" s="1"/>
  <c r="E68" i="35"/>
  <c r="E69" i="35" s="1"/>
  <c r="D68" i="35"/>
  <c r="D69" i="35" s="1"/>
  <c r="C68" i="35"/>
  <c r="C69" i="35" s="1"/>
  <c r="F56" i="35"/>
  <c r="E56" i="35"/>
  <c r="D56" i="35"/>
  <c r="F55" i="35"/>
  <c r="E55" i="35"/>
  <c r="D55" i="35"/>
  <c r="F54" i="35"/>
  <c r="E54" i="35"/>
  <c r="D54" i="35"/>
  <c r="C54" i="35"/>
  <c r="F45" i="35"/>
  <c r="F46" i="35" s="1"/>
  <c r="E45" i="35"/>
  <c r="E46" i="35" s="1"/>
  <c r="D45" i="35"/>
  <c r="D46" i="35" s="1"/>
  <c r="C45" i="35"/>
  <c r="C46" i="35" s="1"/>
  <c r="F33" i="35"/>
  <c r="E33" i="35"/>
  <c r="D33" i="35"/>
  <c r="F32" i="35"/>
  <c r="E32" i="35"/>
  <c r="D32" i="35"/>
  <c r="F31" i="35"/>
  <c r="E31" i="35"/>
  <c r="D31" i="35"/>
  <c r="C31" i="35"/>
  <c r="D319" i="35" l="1"/>
  <c r="D307" i="35"/>
  <c r="E311" i="35"/>
  <c r="D315" i="35"/>
  <c r="F57" i="35"/>
  <c r="F142" i="35"/>
  <c r="F124" i="35"/>
  <c r="D235" i="35"/>
  <c r="D273" i="35"/>
  <c r="E104" i="35"/>
  <c r="E273" i="35"/>
  <c r="F34" i="35"/>
  <c r="E168" i="35"/>
  <c r="D124" i="35"/>
  <c r="F191" i="35"/>
  <c r="D291" i="35"/>
  <c r="D34" i="35"/>
  <c r="E34" i="35"/>
  <c r="D57" i="35"/>
  <c r="D104" i="35"/>
  <c r="E124" i="35"/>
  <c r="D142" i="35"/>
  <c r="E217" i="35"/>
  <c r="E291" i="35"/>
  <c r="F303" i="35"/>
  <c r="F307" i="35"/>
  <c r="F311" i="35"/>
  <c r="F315" i="35"/>
  <c r="F319" i="35"/>
  <c r="F104" i="35"/>
  <c r="F83" i="35"/>
  <c r="E191" i="35"/>
  <c r="F217" i="35"/>
  <c r="E255" i="35"/>
  <c r="C320" i="35"/>
  <c r="D309" i="35"/>
  <c r="D313" i="35"/>
  <c r="D317" i="35"/>
  <c r="E83" i="35"/>
  <c r="D191" i="35"/>
  <c r="D217" i="35"/>
  <c r="F235" i="35"/>
  <c r="F255" i="35"/>
  <c r="F305" i="35"/>
  <c r="E309" i="35"/>
  <c r="F313" i="35"/>
  <c r="E317" i="35"/>
  <c r="E319" i="35"/>
  <c r="F273" i="35"/>
  <c r="E301" i="35"/>
  <c r="D320" i="35"/>
  <c r="D305" i="35"/>
  <c r="E307" i="35"/>
  <c r="F309" i="35"/>
  <c r="E315" i="35"/>
  <c r="F317" i="35"/>
  <c r="E57" i="35"/>
  <c r="D83" i="35"/>
  <c r="E142" i="35"/>
  <c r="D168" i="35"/>
  <c r="E235" i="35"/>
  <c r="D255" i="35"/>
  <c r="F300" i="35"/>
  <c r="D303" i="35"/>
  <c r="E305" i="35"/>
  <c r="D311" i="35"/>
  <c r="E313" i="35"/>
  <c r="E303" i="35"/>
  <c r="E320" i="35"/>
  <c r="D301" i="35" l="1"/>
  <c r="F320" i="35"/>
  <c r="F301" i="35"/>
  <c r="F361" i="34" l="1"/>
  <c r="E361" i="34"/>
  <c r="D361" i="34"/>
  <c r="C361" i="34"/>
  <c r="F359" i="34"/>
  <c r="E359" i="34"/>
  <c r="D359" i="34"/>
  <c r="D360" i="34" s="1"/>
  <c r="C359" i="34"/>
  <c r="F357" i="34"/>
  <c r="E357" i="34"/>
  <c r="F358" i="34" s="1"/>
  <c r="D357" i="34"/>
  <c r="C357" i="34"/>
  <c r="F355" i="34"/>
  <c r="E355" i="34"/>
  <c r="D355" i="34"/>
  <c r="E356" i="34" s="1"/>
  <c r="C355" i="34"/>
  <c r="F353" i="34"/>
  <c r="E353" i="34"/>
  <c r="D353" i="34"/>
  <c r="C353" i="34"/>
  <c r="F351" i="34"/>
  <c r="E351" i="34"/>
  <c r="D351" i="34"/>
  <c r="D352" i="34" s="1"/>
  <c r="C351" i="34"/>
  <c r="F349" i="34"/>
  <c r="E349" i="34"/>
  <c r="D349" i="34"/>
  <c r="C349" i="34"/>
  <c r="F347" i="34"/>
  <c r="E347" i="34"/>
  <c r="D347" i="34"/>
  <c r="E348" i="34" s="1"/>
  <c r="C347" i="34"/>
  <c r="F345" i="34"/>
  <c r="E345" i="34"/>
  <c r="D345" i="34"/>
  <c r="C345" i="34"/>
  <c r="C343" i="34" s="1"/>
  <c r="F343" i="34"/>
  <c r="D343" i="34"/>
  <c r="F335" i="34"/>
  <c r="E335" i="34"/>
  <c r="D335" i="34"/>
  <c r="C335" i="34"/>
  <c r="F328" i="34"/>
  <c r="E328" i="34"/>
  <c r="D328" i="34"/>
  <c r="F327" i="34"/>
  <c r="E327" i="34"/>
  <c r="D327" i="34"/>
  <c r="F326" i="34"/>
  <c r="E326" i="34"/>
  <c r="F329" i="34" s="1"/>
  <c r="D326" i="34"/>
  <c r="C326" i="34"/>
  <c r="D329" i="34" s="1"/>
  <c r="F311" i="34"/>
  <c r="E311" i="34"/>
  <c r="D311" i="34"/>
  <c r="C311" i="34"/>
  <c r="F304" i="34"/>
  <c r="E304" i="34"/>
  <c r="D304" i="34"/>
  <c r="F303" i="34"/>
  <c r="E303" i="34"/>
  <c r="D303" i="34"/>
  <c r="F302" i="34"/>
  <c r="E302" i="34"/>
  <c r="D302" i="34"/>
  <c r="C302" i="34"/>
  <c r="F290" i="34"/>
  <c r="E290" i="34"/>
  <c r="D290" i="34"/>
  <c r="C290" i="34"/>
  <c r="F283" i="34"/>
  <c r="E283" i="34"/>
  <c r="D283" i="34"/>
  <c r="F282" i="34"/>
  <c r="E282" i="34"/>
  <c r="D282" i="34"/>
  <c r="F281" i="34"/>
  <c r="E281" i="34"/>
  <c r="D281" i="34"/>
  <c r="C281" i="34"/>
  <c r="D284" i="34" s="1"/>
  <c r="F269" i="34"/>
  <c r="F270" i="34" s="1"/>
  <c r="E269" i="34"/>
  <c r="E270" i="34" s="1"/>
  <c r="D269" i="34"/>
  <c r="D270" i="34" s="1"/>
  <c r="C269" i="34"/>
  <c r="C270" i="34" s="1"/>
  <c r="F257" i="34"/>
  <c r="E257" i="34"/>
  <c r="D257" i="34"/>
  <c r="F256" i="34"/>
  <c r="E256" i="34"/>
  <c r="D256" i="34"/>
  <c r="F255" i="34"/>
  <c r="E255" i="34"/>
  <c r="D255" i="34"/>
  <c r="C255" i="34"/>
  <c r="F239" i="34"/>
  <c r="E239" i="34"/>
  <c r="D239" i="34"/>
  <c r="C239" i="34"/>
  <c r="F232" i="34"/>
  <c r="E232" i="34"/>
  <c r="D232" i="34"/>
  <c r="F231" i="34"/>
  <c r="E231" i="34"/>
  <c r="D231" i="34"/>
  <c r="F230" i="34"/>
  <c r="E230" i="34"/>
  <c r="D230" i="34"/>
  <c r="C230" i="34"/>
  <c r="D233" i="34" s="1"/>
  <c r="F216" i="34"/>
  <c r="E216" i="34"/>
  <c r="D216" i="34"/>
  <c r="C216" i="34"/>
  <c r="F209" i="34"/>
  <c r="E209" i="34"/>
  <c r="D209" i="34"/>
  <c r="F208" i="34"/>
  <c r="E208" i="34"/>
  <c r="D208" i="34"/>
  <c r="F207" i="34"/>
  <c r="E207" i="34"/>
  <c r="D207" i="34"/>
  <c r="C207" i="34"/>
  <c r="F195" i="34"/>
  <c r="F196" i="34" s="1"/>
  <c r="E195" i="34"/>
  <c r="E196" i="34" s="1"/>
  <c r="D195" i="34"/>
  <c r="D196" i="34" s="1"/>
  <c r="C195" i="34"/>
  <c r="C196" i="34" s="1"/>
  <c r="F183" i="34"/>
  <c r="E183" i="34"/>
  <c r="D183" i="34"/>
  <c r="F182" i="34"/>
  <c r="E182" i="34"/>
  <c r="D182" i="34"/>
  <c r="F181" i="34"/>
  <c r="E181" i="34"/>
  <c r="D181" i="34"/>
  <c r="C181" i="34"/>
  <c r="D184" i="34" s="1"/>
  <c r="F165" i="34"/>
  <c r="E165" i="34"/>
  <c r="D165" i="34"/>
  <c r="C165" i="34"/>
  <c r="F158" i="34"/>
  <c r="E158" i="34"/>
  <c r="D158" i="34"/>
  <c r="F157" i="34"/>
  <c r="E157" i="34"/>
  <c r="D157" i="34"/>
  <c r="F156" i="34"/>
  <c r="E156" i="34"/>
  <c r="D156" i="34"/>
  <c r="C156" i="34"/>
  <c r="F141" i="34"/>
  <c r="E141" i="34"/>
  <c r="D141" i="34"/>
  <c r="C141" i="34"/>
  <c r="F134" i="34"/>
  <c r="E134" i="34"/>
  <c r="D134" i="34"/>
  <c r="F133" i="34"/>
  <c r="E133" i="34"/>
  <c r="D133" i="34"/>
  <c r="F132" i="34"/>
  <c r="E132" i="34"/>
  <c r="F135" i="34" s="1"/>
  <c r="D132" i="34"/>
  <c r="C132" i="34"/>
  <c r="D135" i="34" s="1"/>
  <c r="F120" i="34"/>
  <c r="F121" i="34" s="1"/>
  <c r="E120" i="34"/>
  <c r="E121" i="34" s="1"/>
  <c r="D120" i="34"/>
  <c r="D121" i="34" s="1"/>
  <c r="C120" i="34"/>
  <c r="C121" i="34" s="1"/>
  <c r="F108" i="34"/>
  <c r="E108" i="34"/>
  <c r="D108" i="34"/>
  <c r="F107" i="34"/>
  <c r="E107" i="34"/>
  <c r="D107" i="34"/>
  <c r="F106" i="34"/>
  <c r="E106" i="34"/>
  <c r="D106" i="34"/>
  <c r="C106" i="34"/>
  <c r="F90" i="34"/>
  <c r="E90" i="34"/>
  <c r="D90" i="34"/>
  <c r="C90" i="34"/>
  <c r="F83" i="34"/>
  <c r="E83" i="34"/>
  <c r="D83" i="34"/>
  <c r="F82" i="34"/>
  <c r="E82" i="34"/>
  <c r="D82" i="34"/>
  <c r="F81" i="34"/>
  <c r="E81" i="34"/>
  <c r="D81" i="34"/>
  <c r="C81" i="34"/>
  <c r="D84" i="34" s="1"/>
  <c r="F66" i="34"/>
  <c r="E66" i="34"/>
  <c r="D66" i="34"/>
  <c r="C66" i="34"/>
  <c r="F59" i="34"/>
  <c r="E59" i="34"/>
  <c r="D59" i="34"/>
  <c r="F58" i="34"/>
  <c r="E58" i="34"/>
  <c r="D58" i="34"/>
  <c r="F57" i="34"/>
  <c r="E57" i="34"/>
  <c r="D57" i="34"/>
  <c r="C57" i="34"/>
  <c r="F45" i="34"/>
  <c r="F342" i="34" s="1"/>
  <c r="E45" i="34"/>
  <c r="E342" i="34" s="1"/>
  <c r="D45" i="34"/>
  <c r="D342" i="34" s="1"/>
  <c r="C45" i="34"/>
  <c r="F33" i="34"/>
  <c r="E33" i="34"/>
  <c r="D33" i="34"/>
  <c r="F32" i="34"/>
  <c r="E32" i="34"/>
  <c r="D32" i="34"/>
  <c r="F31" i="34"/>
  <c r="E31" i="34"/>
  <c r="D31" i="34"/>
  <c r="C31" i="34"/>
  <c r="D34" i="34" s="1"/>
  <c r="F233" i="34" l="1"/>
  <c r="E346" i="34"/>
  <c r="F350" i="34"/>
  <c r="E362" i="34"/>
  <c r="D350" i="34"/>
  <c r="D354" i="34"/>
  <c r="D358" i="34"/>
  <c r="D362" i="34"/>
  <c r="F60" i="34"/>
  <c r="F109" i="34"/>
  <c r="F159" i="34"/>
  <c r="F210" i="34"/>
  <c r="F258" i="34"/>
  <c r="F305" i="34"/>
  <c r="F34" i="34"/>
  <c r="C342" i="34"/>
  <c r="C363" i="34" s="1"/>
  <c r="E84" i="34"/>
  <c r="E184" i="34"/>
  <c r="E284" i="34"/>
  <c r="E354" i="34"/>
  <c r="E60" i="34"/>
  <c r="D109" i="34"/>
  <c r="E159" i="34"/>
  <c r="D210" i="34"/>
  <c r="E258" i="34"/>
  <c r="D305" i="34"/>
  <c r="F348" i="34"/>
  <c r="F352" i="34"/>
  <c r="F356" i="34"/>
  <c r="F360" i="34"/>
  <c r="D344" i="34"/>
  <c r="D46" i="34"/>
  <c r="F84" i="34"/>
  <c r="E109" i="34"/>
  <c r="F184" i="34"/>
  <c r="E210" i="34"/>
  <c r="F284" i="34"/>
  <c r="E305" i="34"/>
  <c r="F346" i="34"/>
  <c r="E352" i="34"/>
  <c r="F354" i="34"/>
  <c r="E360" i="34"/>
  <c r="F362" i="34"/>
  <c r="F363" i="34"/>
  <c r="E34" i="34"/>
  <c r="E46" i="34"/>
  <c r="D60" i="34"/>
  <c r="E135" i="34"/>
  <c r="D159" i="34"/>
  <c r="E233" i="34"/>
  <c r="D258" i="34"/>
  <c r="E329" i="34"/>
  <c r="E343" i="34"/>
  <c r="D348" i="34"/>
  <c r="E350" i="34"/>
  <c r="D356" i="34"/>
  <c r="E358" i="34"/>
  <c r="F46" i="34"/>
  <c r="D346" i="34"/>
  <c r="D363" i="34"/>
  <c r="C46" i="34"/>
  <c r="E363" i="34" l="1"/>
  <c r="E344" i="34"/>
  <c r="F344" i="34"/>
  <c r="F86" i="32" l="1"/>
  <c r="E86" i="32"/>
  <c r="D86" i="32"/>
  <c r="C86" i="32"/>
  <c r="F54" i="32"/>
  <c r="F55" i="32" s="1"/>
  <c r="E54" i="32"/>
  <c r="E63" i="32" s="1"/>
  <c r="D54" i="32"/>
  <c r="C54" i="32"/>
  <c r="C55" i="32" s="1"/>
  <c r="F36" i="32"/>
  <c r="E36" i="32"/>
  <c r="D36" i="32"/>
  <c r="D76" i="32" s="1"/>
  <c r="C36" i="32"/>
  <c r="F35" i="32"/>
  <c r="F74" i="32" s="1"/>
  <c r="E35" i="32"/>
  <c r="E74" i="32" s="1"/>
  <c r="D35" i="32"/>
  <c r="D74" i="32" s="1"/>
  <c r="C35" i="32"/>
  <c r="C74" i="32" s="1"/>
  <c r="F34" i="32"/>
  <c r="F72" i="32" s="1"/>
  <c r="E34" i="32"/>
  <c r="E72" i="32" s="1"/>
  <c r="D34" i="32"/>
  <c r="D72" i="32" s="1"/>
  <c r="C34" i="32"/>
  <c r="C72" i="32" s="1"/>
  <c r="F26" i="32"/>
  <c r="E26" i="32"/>
  <c r="E27" i="32" s="1"/>
  <c r="D26" i="32"/>
  <c r="D27" i="32" s="1"/>
  <c r="C26" i="32"/>
  <c r="C27" i="32" s="1"/>
  <c r="F75" i="32" l="1"/>
  <c r="F29" i="32"/>
  <c r="F27" i="32"/>
  <c r="F30" i="32" s="1"/>
  <c r="E73" i="32"/>
  <c r="E75" i="32"/>
  <c r="F41" i="32"/>
  <c r="E30" i="32"/>
  <c r="D73" i="32"/>
  <c r="D57" i="32"/>
  <c r="C41" i="32"/>
  <c r="C42" i="32" s="1"/>
  <c r="F63" i="32"/>
  <c r="F88" i="32" s="1"/>
  <c r="E41" i="32"/>
  <c r="E42" i="32" s="1"/>
  <c r="E76" i="32"/>
  <c r="E77" i="32" s="1"/>
  <c r="F73" i="32"/>
  <c r="D30" i="32"/>
  <c r="D75" i="32"/>
  <c r="E88" i="32"/>
  <c r="E64" i="32"/>
  <c r="D41" i="32"/>
  <c r="D55" i="32"/>
  <c r="D58" i="32" s="1"/>
  <c r="E57" i="32"/>
  <c r="D29" i="32"/>
  <c r="E55" i="32"/>
  <c r="F57" i="32"/>
  <c r="C63" i="32"/>
  <c r="F76" i="32"/>
  <c r="F64" i="32"/>
  <c r="F69" i="32" s="1"/>
  <c r="E29" i="32"/>
  <c r="D63" i="32"/>
  <c r="C76" i="32"/>
  <c r="D77" i="32" s="1"/>
  <c r="F70" i="32" l="1"/>
  <c r="F89" i="32"/>
  <c r="E69" i="32"/>
  <c r="F42" i="32"/>
  <c r="E70" i="32"/>
  <c r="E58" i="32"/>
  <c r="F77" i="32"/>
  <c r="C88" i="32"/>
  <c r="C70" i="32"/>
  <c r="C64" i="32"/>
  <c r="C69" i="32" s="1"/>
  <c r="D42" i="32"/>
  <c r="D88" i="32"/>
  <c r="D89" i="32" s="1"/>
  <c r="D70" i="32"/>
  <c r="E71" i="32" s="1"/>
  <c r="D64" i="32"/>
  <c r="D69" i="32" s="1"/>
  <c r="F58" i="32"/>
  <c r="F90" i="32"/>
  <c r="F71" i="32"/>
  <c r="E90" i="32" l="1"/>
  <c r="C90" i="32"/>
  <c r="E89" i="32"/>
  <c r="D90" i="32"/>
  <c r="D71" i="32"/>
  <c r="C453" i="31" l="1"/>
  <c r="C439" i="31"/>
  <c r="C437" i="31"/>
  <c r="F436" i="31"/>
  <c r="F428" i="31"/>
  <c r="E428" i="31"/>
  <c r="D428" i="31"/>
  <c r="C428" i="31"/>
  <c r="C405" i="31"/>
  <c r="F405" i="31"/>
  <c r="E453" i="31"/>
  <c r="D453" i="31"/>
  <c r="D454" i="31" s="1"/>
  <c r="F398" i="31"/>
  <c r="E398" i="31"/>
  <c r="F397" i="31"/>
  <c r="E397" i="31"/>
  <c r="F396" i="31"/>
  <c r="E396" i="31"/>
  <c r="D396" i="31"/>
  <c r="C381" i="31"/>
  <c r="F381" i="31"/>
  <c r="E381" i="31"/>
  <c r="D381" i="31"/>
  <c r="F367" i="31"/>
  <c r="E367" i="31"/>
  <c r="D367" i="31"/>
  <c r="F366" i="31"/>
  <c r="E366" i="31"/>
  <c r="D366" i="31"/>
  <c r="F365" i="31"/>
  <c r="E365" i="31"/>
  <c r="D365" i="31"/>
  <c r="C365" i="31"/>
  <c r="C353" i="31"/>
  <c r="F353" i="31"/>
  <c r="E353" i="31"/>
  <c r="D353" i="31"/>
  <c r="F339" i="31"/>
  <c r="E339" i="31"/>
  <c r="D339" i="31"/>
  <c r="F338" i="31"/>
  <c r="E338" i="31"/>
  <c r="D338" i="31"/>
  <c r="F337" i="31"/>
  <c r="E337" i="31"/>
  <c r="D337" i="31"/>
  <c r="C337" i="31"/>
  <c r="F315" i="31"/>
  <c r="E315" i="31"/>
  <c r="D315" i="31"/>
  <c r="C315" i="31"/>
  <c r="C291" i="31"/>
  <c r="F291" i="31"/>
  <c r="E291" i="31"/>
  <c r="D291" i="31"/>
  <c r="F279" i="31"/>
  <c r="E279" i="31"/>
  <c r="F278" i="31"/>
  <c r="E278" i="31"/>
  <c r="F277" i="31"/>
  <c r="E277" i="31"/>
  <c r="D277" i="31"/>
  <c r="C265" i="31"/>
  <c r="C269" i="31" s="1"/>
  <c r="F265" i="31"/>
  <c r="F269" i="31" s="1"/>
  <c r="E265" i="31"/>
  <c r="E269" i="31" s="1"/>
  <c r="D265" i="31"/>
  <c r="D269" i="31" s="1"/>
  <c r="F253" i="31"/>
  <c r="E253" i="31"/>
  <c r="F252" i="31"/>
  <c r="E252" i="31"/>
  <c r="F251" i="31"/>
  <c r="E251" i="31"/>
  <c r="D251" i="31"/>
  <c r="F239" i="31"/>
  <c r="E239" i="31"/>
  <c r="D239" i="31"/>
  <c r="D243" i="31" s="1"/>
  <c r="F227" i="31"/>
  <c r="E227" i="31"/>
  <c r="D227" i="31"/>
  <c r="F226" i="31"/>
  <c r="E226" i="31"/>
  <c r="D226" i="31"/>
  <c r="F225" i="31"/>
  <c r="E225" i="31"/>
  <c r="D225" i="31"/>
  <c r="C225" i="31"/>
  <c r="F206" i="31"/>
  <c r="E206" i="31"/>
  <c r="C206" i="31"/>
  <c r="D206" i="31"/>
  <c r="F194" i="31"/>
  <c r="E194" i="31"/>
  <c r="E193" i="31"/>
  <c r="D192" i="31"/>
  <c r="E195" i="31" s="1"/>
  <c r="F180" i="31"/>
  <c r="F184" i="31" s="1"/>
  <c r="E180" i="31"/>
  <c r="E184" i="31" s="1"/>
  <c r="C180" i="31"/>
  <c r="C184" i="31" s="1"/>
  <c r="D179" i="31"/>
  <c r="D175" i="31"/>
  <c r="F154" i="31"/>
  <c r="F158" i="31" s="1"/>
  <c r="E154" i="31"/>
  <c r="E158" i="31" s="1"/>
  <c r="C154" i="31"/>
  <c r="C158" i="31" s="1"/>
  <c r="E142" i="31"/>
  <c r="D142" i="31"/>
  <c r="E141" i="31"/>
  <c r="D141" i="31"/>
  <c r="D140" i="31"/>
  <c r="C140" i="31"/>
  <c r="E449" i="31"/>
  <c r="C449" i="31"/>
  <c r="F439" i="31"/>
  <c r="E439" i="31"/>
  <c r="D439" i="31"/>
  <c r="D440" i="31" s="1"/>
  <c r="F437" i="31"/>
  <c r="E437" i="31"/>
  <c r="D437" i="31"/>
  <c r="F116" i="31"/>
  <c r="E116" i="31"/>
  <c r="D116" i="31"/>
  <c r="F115" i="31"/>
  <c r="E115" i="31"/>
  <c r="D115" i="31"/>
  <c r="F114" i="31"/>
  <c r="E114" i="31"/>
  <c r="D114" i="31"/>
  <c r="C114" i="31"/>
  <c r="F95" i="31"/>
  <c r="E95" i="31"/>
  <c r="D95" i="31"/>
  <c r="C95" i="31"/>
  <c r="F88" i="31"/>
  <c r="E88" i="31"/>
  <c r="D88" i="31"/>
  <c r="F87" i="31"/>
  <c r="E87" i="31"/>
  <c r="D87" i="31"/>
  <c r="F86" i="31"/>
  <c r="E86" i="31"/>
  <c r="D86" i="31"/>
  <c r="C86" i="31"/>
  <c r="F71" i="31"/>
  <c r="F75" i="31" s="1"/>
  <c r="E71" i="31"/>
  <c r="E75" i="31" s="1"/>
  <c r="C71" i="31"/>
  <c r="C75" i="31" s="1"/>
  <c r="F59" i="31"/>
  <c r="E59" i="31"/>
  <c r="D59" i="31"/>
  <c r="F58" i="31"/>
  <c r="E58" i="31"/>
  <c r="D58" i="31"/>
  <c r="F57" i="31"/>
  <c r="E57" i="31"/>
  <c r="D57" i="31"/>
  <c r="C57" i="31"/>
  <c r="F49" i="31"/>
  <c r="E49" i="31"/>
  <c r="D49" i="31"/>
  <c r="C49" i="31"/>
  <c r="F33" i="31"/>
  <c r="E33" i="31"/>
  <c r="D33" i="31"/>
  <c r="F32" i="31"/>
  <c r="E32" i="31"/>
  <c r="D32" i="31"/>
  <c r="F31" i="31"/>
  <c r="E31" i="31"/>
  <c r="D31" i="31"/>
  <c r="C31" i="31"/>
  <c r="C99" i="31" l="1"/>
  <c r="F117" i="31"/>
  <c r="F89" i="31"/>
  <c r="D143" i="31"/>
  <c r="E34" i="31"/>
  <c r="E60" i="31"/>
  <c r="E117" i="31"/>
  <c r="E340" i="31"/>
  <c r="E89" i="31"/>
  <c r="F280" i="31"/>
  <c r="F340" i="31"/>
  <c r="F34" i="31"/>
  <c r="D60" i="31"/>
  <c r="D117" i="31"/>
  <c r="D154" i="31"/>
  <c r="D158" i="31" s="1"/>
  <c r="F254" i="31"/>
  <c r="E368" i="31"/>
  <c r="E399" i="31"/>
  <c r="E280" i="31"/>
  <c r="F368" i="31"/>
  <c r="E228" i="31"/>
  <c r="E254" i="31"/>
  <c r="F399" i="31"/>
  <c r="C441" i="31"/>
  <c r="C435" i="31" s="1"/>
  <c r="F228" i="31"/>
  <c r="D441" i="31"/>
  <c r="F128" i="31"/>
  <c r="F132" i="31" s="1"/>
  <c r="C432" i="31"/>
  <c r="F99" i="31"/>
  <c r="D128" i="31"/>
  <c r="D132" i="31" s="1"/>
  <c r="D34" i="31"/>
  <c r="E128" i="31"/>
  <c r="E132" i="31" s="1"/>
  <c r="E143" i="31"/>
  <c r="D449" i="31"/>
  <c r="D450" i="31" s="1"/>
  <c r="D89" i="31"/>
  <c r="F60" i="31"/>
  <c r="D228" i="31"/>
  <c r="D340" i="31"/>
  <c r="D368" i="31"/>
  <c r="F453" i="31"/>
  <c r="F454" i="31" s="1"/>
  <c r="D438" i="31"/>
  <c r="D435" i="31"/>
  <c r="F432" i="31"/>
  <c r="E440" i="31"/>
  <c r="E438" i="31"/>
  <c r="F440" i="31"/>
  <c r="D319" i="31"/>
  <c r="D295" i="31"/>
  <c r="F319" i="31"/>
  <c r="F295" i="31"/>
  <c r="E99" i="31"/>
  <c r="F438" i="31"/>
  <c r="E319" i="31"/>
  <c r="E295" i="31"/>
  <c r="E454" i="31"/>
  <c r="C128" i="31"/>
  <c r="C132" i="31" s="1"/>
  <c r="D210" i="31"/>
  <c r="C295" i="31"/>
  <c r="D71" i="31"/>
  <c r="D75" i="31" s="1"/>
  <c r="E210" i="31"/>
  <c r="D405" i="31"/>
  <c r="D432" i="31" s="1"/>
  <c r="E441" i="31"/>
  <c r="E442" i="31" s="1"/>
  <c r="F449" i="31"/>
  <c r="F450" i="31" s="1"/>
  <c r="D180" i="31"/>
  <c r="D184" i="31" s="1"/>
  <c r="F210" i="31"/>
  <c r="C239" i="31"/>
  <c r="C243" i="31" s="1"/>
  <c r="E405" i="31"/>
  <c r="E432" i="31" s="1"/>
  <c r="F441" i="31"/>
  <c r="C210" i="31"/>
  <c r="C319" i="31" l="1"/>
  <c r="E450" i="31"/>
  <c r="F442" i="31"/>
  <c r="E211" i="31"/>
  <c r="E434" i="31" s="1"/>
  <c r="E458" i="31" s="1"/>
  <c r="D442" i="31"/>
  <c r="F211" i="31"/>
  <c r="C211" i="31"/>
  <c r="D211" i="31"/>
  <c r="E436" i="31"/>
  <c r="D436" i="31"/>
  <c r="D99" i="31"/>
  <c r="F434" i="31" l="1"/>
  <c r="F458" i="31" s="1"/>
  <c r="D434" i="31"/>
  <c r="D458" i="31" s="1"/>
  <c r="C434" i="31"/>
  <c r="C458" i="31" s="1"/>
  <c r="F93" i="29" l="1"/>
  <c r="E93" i="29"/>
  <c r="D93" i="29"/>
  <c r="E91" i="29"/>
  <c r="D91" i="29"/>
  <c r="F89" i="29"/>
  <c r="E89" i="29"/>
  <c r="D89" i="29"/>
  <c r="E87" i="29"/>
  <c r="D87" i="29"/>
  <c r="F83" i="29"/>
  <c r="E83" i="29"/>
  <c r="D83" i="29"/>
  <c r="C83" i="29"/>
  <c r="F76" i="29"/>
  <c r="E76" i="29"/>
  <c r="D76" i="29"/>
  <c r="F75" i="29"/>
  <c r="E75" i="29"/>
  <c r="D75" i="29"/>
  <c r="F74" i="29"/>
  <c r="E74" i="29"/>
  <c r="E77" i="29" s="1"/>
  <c r="D74" i="29"/>
  <c r="C74" i="29"/>
  <c r="F62" i="29"/>
  <c r="E62" i="29"/>
  <c r="D62" i="29"/>
  <c r="C62" i="29"/>
  <c r="F55" i="29"/>
  <c r="E55" i="29"/>
  <c r="D55" i="29"/>
  <c r="F54" i="29"/>
  <c r="E54" i="29"/>
  <c r="D54" i="29"/>
  <c r="F53" i="29"/>
  <c r="E53" i="29"/>
  <c r="D53" i="29"/>
  <c r="C53" i="29"/>
  <c r="F41" i="29"/>
  <c r="E41" i="29"/>
  <c r="D41" i="29"/>
  <c r="C41" i="29"/>
  <c r="F29" i="29"/>
  <c r="E29" i="29"/>
  <c r="D29" i="29"/>
  <c r="F28" i="29"/>
  <c r="E28" i="29"/>
  <c r="D28" i="29"/>
  <c r="F27" i="29"/>
  <c r="E27" i="29"/>
  <c r="D27" i="29"/>
  <c r="C27" i="29"/>
  <c r="F176" i="28"/>
  <c r="E176" i="28"/>
  <c r="E177" i="28" s="1"/>
  <c r="D176" i="28"/>
  <c r="C176" i="28"/>
  <c r="F174" i="28"/>
  <c r="E174" i="28"/>
  <c r="D174" i="28"/>
  <c r="C174" i="28"/>
  <c r="F172" i="28"/>
  <c r="E172" i="28"/>
  <c r="E173" i="28" s="1"/>
  <c r="D172" i="28"/>
  <c r="C172" i="28"/>
  <c r="F170" i="28"/>
  <c r="E170" i="28"/>
  <c r="E171" i="28" s="1"/>
  <c r="D170" i="28"/>
  <c r="C170" i="28"/>
  <c r="F168" i="28"/>
  <c r="E168" i="28"/>
  <c r="D168" i="28"/>
  <c r="C168" i="28"/>
  <c r="F166" i="28"/>
  <c r="E166" i="28"/>
  <c r="D166" i="28"/>
  <c r="C166" i="28"/>
  <c r="F164" i="28"/>
  <c r="E164" i="28"/>
  <c r="D164" i="28"/>
  <c r="C164" i="28"/>
  <c r="F162" i="28"/>
  <c r="E162" i="28"/>
  <c r="D162" i="28"/>
  <c r="C162" i="28"/>
  <c r="F159" i="28"/>
  <c r="F154" i="28"/>
  <c r="E154" i="28"/>
  <c r="D154" i="28"/>
  <c r="C153" i="28"/>
  <c r="C154" i="28" s="1"/>
  <c r="F147" i="28"/>
  <c r="E147" i="28"/>
  <c r="D147" i="28"/>
  <c r="F146" i="28"/>
  <c r="E146" i="28"/>
  <c r="D146" i="28"/>
  <c r="F145" i="28"/>
  <c r="E145" i="28"/>
  <c r="D145" i="28"/>
  <c r="C145" i="28"/>
  <c r="F132" i="28"/>
  <c r="F133" i="28" s="1"/>
  <c r="E132" i="28"/>
  <c r="E133" i="28" s="1"/>
  <c r="D132" i="28"/>
  <c r="D133" i="28" s="1"/>
  <c r="C132" i="28"/>
  <c r="C133" i="28" s="1"/>
  <c r="F126" i="28"/>
  <c r="E126" i="28"/>
  <c r="D126" i="28"/>
  <c r="F125" i="28"/>
  <c r="E125" i="28"/>
  <c r="D125" i="28"/>
  <c r="F124" i="28"/>
  <c r="E124" i="28"/>
  <c r="D124" i="28"/>
  <c r="C124" i="28"/>
  <c r="F112" i="28"/>
  <c r="E112" i="28"/>
  <c r="D112" i="28"/>
  <c r="C111" i="28"/>
  <c r="C112" i="28" s="1"/>
  <c r="F105" i="28"/>
  <c r="E105" i="28"/>
  <c r="D105" i="28"/>
  <c r="F104" i="28"/>
  <c r="E104" i="28"/>
  <c r="D104" i="28"/>
  <c r="F103" i="28"/>
  <c r="E103" i="28"/>
  <c r="D103" i="28"/>
  <c r="C103" i="28"/>
  <c r="F91" i="28"/>
  <c r="E91" i="28"/>
  <c r="D91" i="28"/>
  <c r="C90" i="28"/>
  <c r="C91" i="28" s="1"/>
  <c r="F84" i="28"/>
  <c r="E84" i="28"/>
  <c r="D84" i="28"/>
  <c r="F83" i="28"/>
  <c r="E83" i="28"/>
  <c r="D83" i="28"/>
  <c r="F82" i="28"/>
  <c r="E82" i="28"/>
  <c r="D82" i="28"/>
  <c r="C82" i="28"/>
  <c r="F67" i="28"/>
  <c r="F68" i="28" s="1"/>
  <c r="E67" i="28"/>
  <c r="D67" i="28"/>
  <c r="D178" i="28" s="1"/>
  <c r="C67" i="28"/>
  <c r="C68" i="28" s="1"/>
  <c r="F61" i="28"/>
  <c r="E61" i="28"/>
  <c r="D61" i="28"/>
  <c r="F60" i="28"/>
  <c r="E60" i="28"/>
  <c r="D60" i="28"/>
  <c r="F59" i="28"/>
  <c r="E59" i="28"/>
  <c r="D59" i="28"/>
  <c r="C59" i="28"/>
  <c r="F41" i="28"/>
  <c r="F45" i="28" s="1"/>
  <c r="E41" i="28"/>
  <c r="D41" i="28"/>
  <c r="C41" i="28"/>
  <c r="F28" i="28"/>
  <c r="E28" i="28"/>
  <c r="D28" i="28"/>
  <c r="F27" i="28"/>
  <c r="E26" i="28"/>
  <c r="E27" i="28" s="1"/>
  <c r="D26" i="28"/>
  <c r="D159" i="28" s="1"/>
  <c r="C26" i="28"/>
  <c r="C159" i="28" s="1"/>
  <c r="D167" i="28" l="1"/>
  <c r="F30" i="29"/>
  <c r="D169" i="28"/>
  <c r="F30" i="28"/>
  <c r="F56" i="29"/>
  <c r="D77" i="29"/>
  <c r="E30" i="29"/>
  <c r="E56" i="29"/>
  <c r="D106" i="28"/>
  <c r="F85" i="28"/>
  <c r="E45" i="28"/>
  <c r="C45" i="28"/>
  <c r="D62" i="28"/>
  <c r="D127" i="28"/>
  <c r="F148" i="28"/>
  <c r="D173" i="28"/>
  <c r="E165" i="28"/>
  <c r="E62" i="28"/>
  <c r="E106" i="28"/>
  <c r="F127" i="28"/>
  <c r="D85" i="28"/>
  <c r="E148" i="28"/>
  <c r="F163" i="28"/>
  <c r="F165" i="28"/>
  <c r="F167" i="28"/>
  <c r="F169" i="28"/>
  <c r="D30" i="29"/>
  <c r="F77" i="29"/>
  <c r="F178" i="28"/>
  <c r="D45" i="28"/>
  <c r="E178" i="28"/>
  <c r="E85" i="28"/>
  <c r="F106" i="28"/>
  <c r="E127" i="28"/>
  <c r="E163" i="28"/>
  <c r="E169" i="28"/>
  <c r="D171" i="28"/>
  <c r="D175" i="28"/>
  <c r="D177" i="28"/>
  <c r="F62" i="28"/>
  <c r="D148" i="28"/>
  <c r="D163" i="28"/>
  <c r="F171" i="28"/>
  <c r="F173" i="28"/>
  <c r="F175" i="28"/>
  <c r="D56" i="29"/>
  <c r="E179" i="28"/>
  <c r="D29" i="28"/>
  <c r="D68" i="28"/>
  <c r="E159" i="28"/>
  <c r="E175" i="28"/>
  <c r="F177" i="28"/>
  <c r="C27" i="28"/>
  <c r="E29" i="28"/>
  <c r="E68" i="28"/>
  <c r="F160" i="28"/>
  <c r="C178" i="28"/>
  <c r="D179" i="28" s="1"/>
  <c r="D165" i="28"/>
  <c r="E167" i="28"/>
  <c r="D27" i="28"/>
  <c r="F29" i="28"/>
  <c r="D160" i="28"/>
  <c r="F179" i="28" l="1"/>
  <c r="E160" i="28"/>
  <c r="E161" i="28" s="1"/>
  <c r="C160" i="28"/>
  <c r="C183" i="28" s="1"/>
  <c r="D30" i="28"/>
  <c r="F183" i="28"/>
  <c r="F161" i="28"/>
  <c r="E30" i="28"/>
  <c r="E183" i="28"/>
  <c r="D183" i="28"/>
  <c r="D161" i="28" l="1"/>
</calcChain>
</file>

<file path=xl/comments1.xml><?xml version="1.0" encoding="utf-8"?>
<comments xmlns="http://schemas.openxmlformats.org/spreadsheetml/2006/main">
  <authors>
    <author>Stela Janku</author>
  </authors>
  <commentList>
    <comment ref="E217" authorId="0">
      <text>
        <r>
          <rPr>
            <b/>
            <sz val="9"/>
            <color indexed="81"/>
            <rFont val="Tahoma"/>
            <family val="2"/>
            <charset val="238"/>
          </rPr>
          <t>Stela Janku:</t>
        </r>
        <r>
          <rPr>
            <sz val="9"/>
            <color indexed="81"/>
            <rFont val="Tahoma"/>
            <family val="2"/>
            <charset val="238"/>
          </rPr>
          <t xml:space="preserve">
blerje pajisje</t>
        </r>
      </text>
    </comment>
    <comment ref="F217" authorId="0">
      <text>
        <r>
          <rPr>
            <b/>
            <sz val="9"/>
            <color indexed="81"/>
            <rFont val="Tahoma"/>
            <family val="2"/>
            <charset val="238"/>
          </rPr>
          <t>Stela Janku:</t>
        </r>
        <r>
          <rPr>
            <sz val="9"/>
            <color indexed="81"/>
            <rFont val="Tahoma"/>
            <family val="2"/>
            <charset val="238"/>
          </rPr>
          <t xml:space="preserve">
blerje pajisje</t>
        </r>
      </text>
    </comment>
  </commentList>
</comments>
</file>

<file path=xl/comments2.xml><?xml version="1.0" encoding="utf-8"?>
<comments xmlns="http://schemas.openxmlformats.org/spreadsheetml/2006/main">
  <authors>
    <author>Windows User</author>
  </authors>
  <commentList>
    <comment ref="D40" authorId="0">
      <text>
        <r>
          <rPr>
            <b/>
            <sz val="9"/>
            <color indexed="81"/>
            <rFont val="Tahoma"/>
            <family val="2"/>
            <charset val="238"/>
          </rPr>
          <t>Windows User:</t>
        </r>
        <r>
          <rPr>
            <sz val="9"/>
            <color indexed="81"/>
            <rFont val="Tahoma"/>
            <family val="2"/>
            <charset val="238"/>
          </rPr>
          <t xml:space="preserve">
inflacioni 3 %</t>
        </r>
      </text>
    </comment>
    <comment ref="E40" authorId="0">
      <text>
        <r>
          <rPr>
            <b/>
            <sz val="9"/>
            <color indexed="81"/>
            <rFont val="Tahoma"/>
            <family val="2"/>
            <charset val="238"/>
          </rPr>
          <t>Windows User:</t>
        </r>
        <r>
          <rPr>
            <sz val="9"/>
            <color indexed="81"/>
            <rFont val="Tahoma"/>
            <family val="2"/>
            <charset val="238"/>
          </rPr>
          <t xml:space="preserve">
inflacioni 3 %</t>
        </r>
      </text>
    </comment>
    <comment ref="F40" authorId="0">
      <text>
        <r>
          <rPr>
            <b/>
            <sz val="9"/>
            <color indexed="81"/>
            <rFont val="Tahoma"/>
            <family val="2"/>
            <charset val="238"/>
          </rPr>
          <t>Windows User:</t>
        </r>
        <r>
          <rPr>
            <sz val="9"/>
            <color indexed="81"/>
            <rFont val="Tahoma"/>
            <family val="2"/>
            <charset val="238"/>
          </rPr>
          <t xml:space="preserve">
inflacioni 3 %</t>
        </r>
      </text>
    </comment>
  </commentList>
</comments>
</file>

<file path=xl/comments3.xml><?xml version="1.0" encoding="utf-8"?>
<comments xmlns="http://schemas.openxmlformats.org/spreadsheetml/2006/main">
  <authors>
    <author>Esjola Mullaymeri</author>
  </authors>
  <commentList>
    <comment ref="F15" authorId="0">
      <text>
        <r>
          <rPr>
            <b/>
            <sz val="9"/>
            <color indexed="81"/>
            <rFont val="Tahoma"/>
            <family val="2"/>
          </rPr>
          <t>Esjola Mullaymeri:</t>
        </r>
        <r>
          <rPr>
            <sz val="9"/>
            <color indexed="81"/>
            <rFont val="Tahoma"/>
            <family val="2"/>
          </rPr>
          <t xml:space="preserve">
Si e mat </t>
        </r>
      </text>
    </comment>
    <comment ref="F16" authorId="0">
      <text>
        <r>
          <rPr>
            <b/>
            <sz val="9"/>
            <color indexed="81"/>
            <rFont val="Tahoma"/>
            <family val="2"/>
          </rPr>
          <t>Esjola Mullaymeri:</t>
        </r>
        <r>
          <rPr>
            <sz val="9"/>
            <color indexed="81"/>
            <rFont val="Tahoma"/>
            <family val="2"/>
          </rPr>
          <t xml:space="preserve">
Nr i trasaksioneve të paligjshme dhe të parregullta ndaj totali të trasaksioneve”</t>
        </r>
      </text>
    </comment>
  </commentList>
</comments>
</file>

<file path=xl/comments4.xml><?xml version="1.0" encoding="utf-8"?>
<comments xmlns="http://schemas.openxmlformats.org/spreadsheetml/2006/main">
  <authors>
    <author>Shefe Ollga</author>
  </authors>
  <commentList>
    <comment ref="B50" authorId="0">
      <text>
        <r>
          <rPr>
            <b/>
            <sz val="9"/>
            <color indexed="81"/>
            <rFont val="Tahoma"/>
            <family val="2"/>
          </rPr>
          <t>Shefe Ollga:</t>
        </r>
        <r>
          <rPr>
            <sz val="9"/>
            <color indexed="81"/>
            <rFont val="Tahoma"/>
            <family val="2"/>
          </rPr>
          <t xml:space="preserve">
inflacioni 3%
</t>
        </r>
      </text>
    </comment>
    <comment ref="B51" authorId="0">
      <text>
        <r>
          <rPr>
            <b/>
            <sz val="9"/>
            <color indexed="81"/>
            <rFont val="Tahoma"/>
            <family val="2"/>
          </rPr>
          <t>Shefe Ollga:</t>
        </r>
        <r>
          <rPr>
            <sz val="9"/>
            <color indexed="81"/>
            <rFont val="Tahoma"/>
            <family val="2"/>
          </rPr>
          <t xml:space="preserve">
ndryshimi I produktit ne nr.</t>
        </r>
      </text>
    </comment>
    <comment ref="B164" authorId="0">
      <text>
        <r>
          <rPr>
            <b/>
            <sz val="9"/>
            <color indexed="81"/>
            <rFont val="Tahoma"/>
            <family val="2"/>
          </rPr>
          <t>Shefe Ollga:</t>
        </r>
        <r>
          <rPr>
            <sz val="9"/>
            <color indexed="81"/>
            <rFont val="Tahoma"/>
            <family val="2"/>
          </rPr>
          <t xml:space="preserve">
inflacioni 3%
</t>
        </r>
      </text>
    </comment>
    <comment ref="B165" authorId="0">
      <text>
        <r>
          <rPr>
            <b/>
            <sz val="9"/>
            <color indexed="81"/>
            <rFont val="Tahoma"/>
            <family val="2"/>
          </rPr>
          <t>Shefe Ollga:</t>
        </r>
        <r>
          <rPr>
            <sz val="9"/>
            <color indexed="81"/>
            <rFont val="Tahoma"/>
            <family val="2"/>
          </rPr>
          <t xml:space="preserve">
ndryshimi I produktit ne nr.</t>
        </r>
      </text>
    </comment>
    <comment ref="B198" authorId="0">
      <text>
        <r>
          <rPr>
            <b/>
            <sz val="9"/>
            <color indexed="81"/>
            <rFont val="Tahoma"/>
            <family val="2"/>
          </rPr>
          <t>Shefe Ollga:</t>
        </r>
        <r>
          <rPr>
            <sz val="9"/>
            <color indexed="81"/>
            <rFont val="Tahoma"/>
            <family val="2"/>
          </rPr>
          <t xml:space="preserve">
inflacioni 3%
</t>
        </r>
      </text>
    </comment>
    <comment ref="B199" authorId="0">
      <text>
        <r>
          <rPr>
            <b/>
            <sz val="9"/>
            <color indexed="81"/>
            <rFont val="Tahoma"/>
            <family val="2"/>
          </rPr>
          <t>Shefe Ollga:</t>
        </r>
        <r>
          <rPr>
            <sz val="9"/>
            <color indexed="81"/>
            <rFont val="Tahoma"/>
            <family val="2"/>
          </rPr>
          <t xml:space="preserve">
ndryshimi I produktit ne nr.</t>
        </r>
      </text>
    </comment>
  </commentList>
</comments>
</file>

<file path=xl/sharedStrings.xml><?xml version="1.0" encoding="utf-8"?>
<sst xmlns="http://schemas.openxmlformats.org/spreadsheetml/2006/main" count="15650" uniqueCount="1538">
  <si>
    <t xml:space="preserve">FORMAT 2.1 : FORMATI STANDARD I PËRGATITJES SË KËRKESAVE BUXHETORE PBA 2019-2021 </t>
  </si>
  <si>
    <t>Politikat Ekzistuese në Përputhje me Tavanet Indikative Buxhetore</t>
  </si>
  <si>
    <t>Emërtimi i Programit Buxhetor</t>
  </si>
  <si>
    <t>Kodi i Programit</t>
  </si>
  <si>
    <t>01110</t>
  </si>
  <si>
    <t>Programi Buxhetor Afatmesëm</t>
  </si>
  <si>
    <t>2019-2021</t>
  </si>
  <si>
    <t>Përshkrimi i Programit</t>
  </si>
  <si>
    <t>Qëllimet e Politikës së Programit</t>
  </si>
  <si>
    <t>Treguesit e Performancës në nivel Qëllimi</t>
  </si>
  <si>
    <t>Buxheti</t>
  </si>
  <si>
    <t>Parashikimi</t>
  </si>
  <si>
    <t>Objektivi 1 i Politikës së Programit</t>
  </si>
  <si>
    <t>Treguesit e Performancës për Objektivin 1</t>
  </si>
  <si>
    <t>Produktet për Objektivin 1</t>
  </si>
  <si>
    <t xml:space="preserve">Shpenzimet Korrente* </t>
  </si>
  <si>
    <t>Produkti 1</t>
  </si>
  <si>
    <t>Përshkrimi i Produktit:</t>
  </si>
  <si>
    <t>Njësia Matëse</t>
  </si>
  <si>
    <t>Sasia</t>
  </si>
  <si>
    <t>Kosto totale (në mijë lekë)</t>
  </si>
  <si>
    <t>Kosto për njësi (në mijë lekë)</t>
  </si>
  <si>
    <t xml:space="preserve">Ndryshimi në % i Sasisë  </t>
  </si>
  <si>
    <t>…</t>
  </si>
  <si>
    <t xml:space="preserve">Ndryshimi në % i kostos totale  </t>
  </si>
  <si>
    <t>Ndryshimi në % i kostos për njësi</t>
  </si>
  <si>
    <t xml:space="preserve">600. Pagat </t>
  </si>
  <si>
    <t>Ndryshimi në % i Pagave si pasojë e ndryshimit të kostos së produktit</t>
  </si>
  <si>
    <t>601. Sigurimet Shoqërore dhe Shendetësore</t>
  </si>
  <si>
    <t>Ndryshimi në % i Sigurimeve Shoqerore dhe Shendetësore si pasojë e ndryshimit të kostos së produktit</t>
  </si>
  <si>
    <t xml:space="preserve">602. Mallrat dhe shërbimet </t>
  </si>
  <si>
    <t>Ndryshimi në % i Mallrave dhe Shërbimeve si pasojë e ndryshimit të kostos së produktit</t>
  </si>
  <si>
    <t xml:space="preserve">603. Subvencionet </t>
  </si>
  <si>
    <t>Ndryshimi në % i Subvencioneve si pasojë e ndryshimit të kostos së produktit</t>
  </si>
  <si>
    <t>604. Transferta të brendshme</t>
  </si>
  <si>
    <t>Ndryshimi në % i Transfertave të brendshme si pasojë e ndryshimit të kostos së produktit</t>
  </si>
  <si>
    <t>605. Transferta të jashtme</t>
  </si>
  <si>
    <t>Ndryshimi në % i Transfertave të jashtme si pasojë e ndryshimit të kostos së produktit</t>
  </si>
  <si>
    <t xml:space="preserve">606. Transferta për familjet dhe individët </t>
  </si>
  <si>
    <t>Ndryshimi në % i Transfertave për familjet dhe individët si pasojë e ndryshimit të kostos së produktit</t>
  </si>
  <si>
    <t>Kosto totale e produktit 1</t>
  </si>
  <si>
    <t>Kontroll</t>
  </si>
  <si>
    <t>Produkti 2</t>
  </si>
  <si>
    <t>Kosto totale e produktit 2</t>
  </si>
  <si>
    <t>Produkti 3</t>
  </si>
  <si>
    <t>Ndryshimi në % i Pagave si pasojë e ndryshimit të sasisë së produktit</t>
  </si>
  <si>
    <t>Ndryshimi në % i Sigurimeve Shoqërore dhe Shendetësore si pasojë e ndryshimit të sasisë së produktit</t>
  </si>
  <si>
    <t>Ndryshimi në % i Mallrave dhe Shërbimeve si pasojë e ndryshimit të sasisë së produktit</t>
  </si>
  <si>
    <t>Ndryshimi në % i Subvencioneve si pasojë e ndryshimit të sasisë së produktit</t>
  </si>
  <si>
    <t>Ndryshimi në % i Transfertave të brendshme si pasojë e ndryshimit të sasisë së produktit</t>
  </si>
  <si>
    <t>Ndryshimi në % i Transfertave të jashtme si pasojë e ndryshimit të sasisë së produktit</t>
  </si>
  <si>
    <t>Ndryshimi në % i Transfertave për familjet dhe individët si pasojë e ndryshimit të sasisë së produktit</t>
  </si>
  <si>
    <t>Kosto totale e produktit 3</t>
  </si>
  <si>
    <t>Produkti 4</t>
  </si>
  <si>
    <t>Kosto totale e produktit 4</t>
  </si>
  <si>
    <t>Shpenzimet Kapitale***</t>
  </si>
  <si>
    <t>Kategoria 1: Shpenzimet Administrative Kapitale</t>
  </si>
  <si>
    <t>numer</t>
  </si>
  <si>
    <t xml:space="preserve">230. Aktive të patrupëzuara </t>
  </si>
  <si>
    <t xml:space="preserve">231. Aktive të trupëzuara </t>
  </si>
  <si>
    <t xml:space="preserve">Shënim: Shpjegoni supozimet dhe llogaritjet për Produktin 1 </t>
  </si>
  <si>
    <t>Kodi i Projektit të Investimeve</t>
  </si>
  <si>
    <t>Shënim: Shpjegoni supozimet dhe llogaritjet për Produktin X</t>
  </si>
  <si>
    <t>Shpenzimet Kapitale</t>
  </si>
  <si>
    <t>Kategoria 2: Shpenzimet për projekte investimesh</t>
  </si>
  <si>
    <t>Shënim: Shpjegoni supozimet dhe llogaritjet për Produktin 3</t>
  </si>
  <si>
    <t>Produkti 4 (shto produkte sipas rastit)</t>
  </si>
  <si>
    <t>Objektivi 2 i Politikës së Programit</t>
  </si>
  <si>
    <t>Treguesit e Performancës për Objektivin 2</t>
  </si>
  <si>
    <t>Produktet për Objektivin 2</t>
  </si>
  <si>
    <t xml:space="preserve">Shpenzimet Korrente </t>
  </si>
  <si>
    <t>Kosto totale e produktit sipas artikujve ekonomikë</t>
  </si>
  <si>
    <t xml:space="preserve">Shënim: Shpjegoni supozimet dhe llogaritjet për Produktin 1 (Metoda 2) </t>
  </si>
  <si>
    <t>cope</t>
  </si>
  <si>
    <t>Kosto totale e produktit X</t>
  </si>
  <si>
    <t>Objektivi 3 i Politikës së Programit</t>
  </si>
  <si>
    <t>Treguesit e Performancës për Objektivin 3</t>
  </si>
  <si>
    <t>Produktet për Objektivin 3</t>
  </si>
  <si>
    <t>Objektivi 4 i Politikës së Programit</t>
  </si>
  <si>
    <t>Kodi i Projektit të Investimeve****</t>
  </si>
  <si>
    <t>Objektivi 5 i Politikës së Programit</t>
  </si>
  <si>
    <t>Treguesit e Performancës për Objektivin 5</t>
  </si>
  <si>
    <t>Totali i shpenzimeve të Programit sipas produkteve*****</t>
  </si>
  <si>
    <t>Totali i shpenzimeve të Programit sipas artikujve*****</t>
  </si>
  <si>
    <t>Ndryshimi në % i totalit të shpenzimeve të Programit</t>
  </si>
  <si>
    <t>Ndryshimi në % i Pagave</t>
  </si>
  <si>
    <t>Ndryshimi në % i Sigurimeve Shoqërore dhe Shëndetësore</t>
  </si>
  <si>
    <t>Ndryshimi në % i Mallrave dhe Shërbimeve</t>
  </si>
  <si>
    <t>Ndryshimi në % i Subvencioneve</t>
  </si>
  <si>
    <t>Ndryshimi në % i Transfertave të brendshme</t>
  </si>
  <si>
    <t>Ndryshimi në % i Transfertave të jashtme</t>
  </si>
  <si>
    <t>Ndryshimi në % i Transfertave për familjet dhe individët</t>
  </si>
  <si>
    <t>230. Aktivet e patrupëzuara</t>
  </si>
  <si>
    <t>Ndryshimi në % i Aktiveve të Patrupëzuara</t>
  </si>
  <si>
    <t>231. Aktivet e trupëzuara</t>
  </si>
  <si>
    <t>Ndryshimi në % i Aktiveve të Trupëzuara</t>
  </si>
  <si>
    <t>Numri i Punonjësve Organik të Programit Buxhetor</t>
  </si>
  <si>
    <t>Numri i Punonjësve me Kontratë të Programit Buxhetor</t>
  </si>
  <si>
    <t>Sqarime</t>
  </si>
  <si>
    <t xml:space="preserve">****Në këtë fushë vendosni kodin e projektit të investimeve që është regjistruar në sistemin e thesarit. </t>
  </si>
  <si>
    <t>*****Totali i Shpenzimeve të Programit duhet të jetë i barabartë me shumën e kostove totale të produkteve të evidentuar më lart. Totali i cdo Artikulli Ekonomik derivohet nga shuma e Artikujve Ekonomikë të evidentuar në kostimin e secilit produkt.</t>
  </si>
  <si>
    <t>Rrjeshti"Kontroll" shërben për të kontrolluar nëse është bërë ndonjë gabim llogjikë. Ai kontrollon që totati I kostos së produktit është I bararabartë me totalin e kostos së produktit sipas artikujve ekonomik. Në rast se ky total nuk është në rregull, formula gjeneron automatikisht mesazhin "Error", duke ju paralajmëruar që është bërë një gabim.</t>
  </si>
  <si>
    <t>Treguesit e Performancës në nivel Qëllimi*</t>
  </si>
  <si>
    <t>Treguesit e Performancës për Objektivin 1**</t>
  </si>
  <si>
    <t>Shpenzimet Korrente</t>
  </si>
  <si>
    <t>Produkti 1***</t>
  </si>
  <si>
    <t>xxxxx</t>
  </si>
  <si>
    <t>Blerje pajisje zyre</t>
  </si>
  <si>
    <t>*Treguesit e Performancës në nivel Qëllimi mund të ndryshojnë nga ato të parashikuara në Formatin 2, si pasojë e Tavaneve Buxhetore për këtë program. EMP duhet të përllogarisë me saktësi se cfarë vlerash të synuara të Treguesve të Performancës në këtë nivel arrihen me Tavanet Buxhetore për këtë program.</t>
  </si>
  <si>
    <t>**Treguesit e Performancës në nivel Objektivi mund të ndryshojnë nga ato të parashikuara në Formatin 2, si pasojë e Tavaneve Buxhetore për këtë program. EMP duhet të përllogarisë me saktësi se cfarë vlerash të synuara të Treguesve të Performancës në nivel objektivi arrihen me Tavanet Buxhetore për këtë program.</t>
  </si>
  <si>
    <t>***Produktet do të rishikohen në sasi dhe në kost, sipas rastit, për të reflektuar Tavanet Buxhetore për këtë program</t>
  </si>
  <si>
    <t>Numër</t>
  </si>
  <si>
    <r>
      <t xml:space="preserve">Detajimi i Kostos Totale të </t>
    </r>
    <r>
      <rPr>
        <b/>
        <sz val="8"/>
        <color indexed="10"/>
        <rFont val="Garamond"/>
        <family val="1"/>
      </rPr>
      <t>Produktit 1</t>
    </r>
    <r>
      <rPr>
        <b/>
        <sz val="8"/>
        <color indexed="8"/>
        <rFont val="Garamond"/>
        <family val="1"/>
      </rPr>
      <t xml:space="preserve"> sipas Artikujve Ekonomikë</t>
    </r>
  </si>
  <si>
    <t xml:space="preserve">FORMAT 2.1: FORMATI STANDARD I PËRGATITJES SË KËRKESAVE BUXHETORE PBA 2019-2021 </t>
  </si>
  <si>
    <t>Trend rritës</t>
  </si>
  <si>
    <t>Emërtimi i Treguesit x (shto tregues sipas rastit)</t>
  </si>
  <si>
    <t>Vlera Bazë</t>
  </si>
  <si>
    <t>Vlera e Synuar</t>
  </si>
  <si>
    <t>Detajimi i Kostos Totale të Produktit 1 sipas Artikujve Ekonomikë</t>
  </si>
  <si>
    <t xml:space="preserve">Shënim: Shpjegoni supozimet dhe llogaritjet për Produktin 2 (Metoda 2) </t>
  </si>
  <si>
    <t xml:space="preserve">Shënim: Shpjegoni supozimet dhe llogaritjet për Produktin X (Metoda 2) </t>
  </si>
  <si>
    <t>Kosto totale e produktit 5</t>
  </si>
  <si>
    <t>Shënim: Shpjegoni supozimet dhe llogaritjet për Produktin 2</t>
  </si>
  <si>
    <t>Shënim: Shpjegoni supozimet dhe llogaritjet për Produktin 4</t>
  </si>
  <si>
    <t>trend rritës</t>
  </si>
  <si>
    <t xml:space="preserve">Produkti 2 </t>
  </si>
  <si>
    <t xml:space="preserve">FORMAT 2: FORMATI STANDARD I PËRGATITJES SË KËRKESAVE BUXHETORE PBA 2019-2021 </t>
  </si>
  <si>
    <t>03350</t>
  </si>
  <si>
    <r>
      <t xml:space="preserve">Detajimi i Kostos Totale të </t>
    </r>
    <r>
      <rPr>
        <b/>
        <sz val="8"/>
        <color indexed="10"/>
        <rFont val="Garamond"/>
        <family val="1"/>
      </rPr>
      <t>Produktit X</t>
    </r>
    <r>
      <rPr>
        <b/>
        <sz val="8"/>
        <color indexed="8"/>
        <rFont val="Garamond"/>
        <family val="1"/>
      </rPr>
      <t xml:space="preserve"> sipas Artikujve Ekonomikë</t>
    </r>
  </si>
  <si>
    <t>Produkti X (shto produkte sipas rastit)</t>
  </si>
  <si>
    <t>Emërtimi i Projektit të Investimeve</t>
  </si>
  <si>
    <t>Pajisje zyre</t>
  </si>
  <si>
    <t>Produkti A</t>
  </si>
  <si>
    <t>Kosto totale e produktit A</t>
  </si>
  <si>
    <t>Produkti B</t>
  </si>
  <si>
    <t>Kosto totale e produktit B</t>
  </si>
  <si>
    <t xml:space="preserve">Kodi i Projektit të Investimeve </t>
  </si>
  <si>
    <t>Produkti C</t>
  </si>
  <si>
    <t>Kosto totale e produktit C</t>
  </si>
  <si>
    <t>Kosto totale e produktit D</t>
  </si>
  <si>
    <t>Treguesit e Performancës për Objektivin 2**</t>
  </si>
  <si>
    <t>Produkti E</t>
  </si>
  <si>
    <t>Kosto totale e produktit E</t>
  </si>
  <si>
    <t>Kosto totale e produktit I</t>
  </si>
  <si>
    <t>m2</t>
  </si>
  <si>
    <t>Planifikimi, Menaxhimi dhe Administrimi</t>
  </si>
  <si>
    <t>trend rrites</t>
  </si>
  <si>
    <t>Produkti 2***</t>
  </si>
  <si>
    <t>Blerje Pajisje</t>
  </si>
  <si>
    <t xml:space="preserve">Produkti 1 </t>
  </si>
  <si>
    <t xml:space="preserve">Numër </t>
  </si>
  <si>
    <t>copë</t>
  </si>
  <si>
    <t>Veprimtaria gjyqsore kushtetuese</t>
  </si>
  <si>
    <t>03320</t>
  </si>
  <si>
    <t>Realizimi i veprimtarise gjyqsore kushtetuese per garantimin e respektimit te Kushtetutës dhe interpretimit përfundimtar të saj, zgjidhja e mosmarrëveshjeve kushtetuese, në lidhje me ndarjen e pushteteve, ankesat e individëve, lidhur  me cënimin e të drejtave kushtetuese, etj. nepermjet nje proçesi te drejte ligjor dhe transparent</t>
  </si>
  <si>
    <t>Garantimi i respektimit te Kushtetutës dhe interpretimit përfundimtar të saj. Gjykata Kushtetuese si nje organ kushtetues i pavarur kontribuon per forcimin e shtetit te se drejtes, nepermjet vendimmarrjes per ndertimin e nje shteti te lire, demokratik e paqedashes, duke garantuar respektimin e te drejtave kushtetuese te çdo shtetasi, zgjidhjen e mosmarrëveshjeve kushtetuese, ne konfliktin e kompetencave ndermjet pushteteve, pajtueshmërinë e marrëveshjeve ndërkombëtare me Kushtetutën, pajtueshmërinë e akteve normative të organeve qëndrore dhe vendore me Kushtetutën dhe me marrëveshjet ndërkombëtare, kushtetueshmërinë e partive, organizatave të tjera politike, si dhe të veprimtarisë së tyre etj.</t>
  </si>
  <si>
    <t>Treguesit 1: "Realizimi i proceseve vendimmarrese gjyqesore te drejta dhe transparente."</t>
  </si>
  <si>
    <t xml:space="preserve">Treguesit 2: Informatizimi i veprimtarise vendimmarrese te gjykates per nje proces te drejte e transparent. </t>
  </si>
  <si>
    <t>Treguesit 3: Permiresimi i kushteve te punes dhe nevojave per transport</t>
  </si>
  <si>
    <t>Treguesit 4: Punonjes te motivuar te punesuar sipas organikes</t>
  </si>
  <si>
    <t>Treguesit 5: Sigurimi i pavaresise se veprimtarise se institucionit me fondet e buxhetore dhe burimet materiale e sherbimet e nevojshme.</t>
  </si>
  <si>
    <t>Realizimi i proceseve vendimmarrese gjyqesore te drejta dhe transparente</t>
  </si>
  <si>
    <t>Vendime te marra</t>
  </si>
  <si>
    <t>Produkti A***</t>
  </si>
  <si>
    <t>Vendimmarrja e gjykates</t>
  </si>
  <si>
    <t>Realizimi i proçeseve gjyqsore, te drejta dhe te hapura ne mbrojtje te kushtetutes dhe lirive e te drejtave themelore te njeriut.</t>
  </si>
  <si>
    <t>Numer vendimesh</t>
  </si>
  <si>
    <r>
      <t xml:space="preserve">Detajimi i Kostos Totale të </t>
    </r>
    <r>
      <rPr>
        <b/>
        <sz val="12"/>
        <color rgb="FFFF0000"/>
        <rFont val="Garamond"/>
        <family val="1"/>
      </rPr>
      <t>Produktit A</t>
    </r>
    <r>
      <rPr>
        <b/>
        <sz val="12"/>
        <color theme="1"/>
        <rFont val="Garamond"/>
        <family val="1"/>
      </rPr>
      <t xml:space="preserve"> "Vendimmarrja e gjykatës", sipas Artikujve Ekonomikë</t>
    </r>
  </si>
  <si>
    <t>Kodi i Projektit të Investimeve:</t>
  </si>
  <si>
    <r>
      <t xml:space="preserve">Detajimi i Kostos Totale të </t>
    </r>
    <r>
      <rPr>
        <b/>
        <sz val="12"/>
        <color rgb="FFFF0000"/>
        <rFont val="Garamond"/>
        <family val="1"/>
      </rPr>
      <t>Produktit A</t>
    </r>
    <r>
      <rPr>
        <b/>
        <sz val="12"/>
        <color theme="1"/>
        <rFont val="Garamond"/>
        <family val="1"/>
      </rPr>
      <t xml:space="preserve"> sipas Artikujve Ekonomikë</t>
    </r>
  </si>
  <si>
    <t xml:space="preserve">230. Aktive të patru-pëzuara </t>
  </si>
  <si>
    <t xml:space="preserve">Shënim: Shpjegoni supozimet dhe llogaritjet për Produktin A </t>
  </si>
  <si>
    <t xml:space="preserve">Informatizimi i veprimtarise vendimmarrese te gjykates per nje proces te drejte e transparent. </t>
  </si>
  <si>
    <t>Ne %, raporti i perdorimit te sistemit te menaxhimit te çeshtjeve</t>
  </si>
  <si>
    <r>
      <rPr>
        <b/>
        <sz val="12"/>
        <color rgb="FFFF0000"/>
        <rFont val="Garamond"/>
        <family val="1"/>
      </rPr>
      <t>Produkti B</t>
    </r>
    <r>
      <rPr>
        <sz val="12"/>
        <color theme="1"/>
        <rFont val="Garamond"/>
        <family val="1"/>
      </rPr>
      <t xml:space="preserve"> </t>
    </r>
  </si>
  <si>
    <t>Informatizimi i veprimtarise se gjykates</t>
  </si>
  <si>
    <t>Informatizimi i veprimtarise se gjykates per nje vendimarrje te drejte dhe te hapur per publikun e gjere, institucionet e shoqerine civile.</t>
  </si>
  <si>
    <t>numer paisjesh/cope</t>
  </si>
  <si>
    <r>
      <t>Detajimi i Kostos Totale të</t>
    </r>
    <r>
      <rPr>
        <b/>
        <sz val="12"/>
        <color rgb="FFFF0000"/>
        <rFont val="Garamond"/>
        <family val="1"/>
      </rPr>
      <t xml:space="preserve"> Produktit B </t>
    </r>
    <r>
      <rPr>
        <b/>
        <sz val="12"/>
        <color theme="1"/>
        <rFont val="Garamond"/>
        <family val="1"/>
      </rPr>
      <t>sipas Artikujve Ekonomikë</t>
    </r>
  </si>
  <si>
    <r>
      <t xml:space="preserve">Kodi i Projektit të Investimeve: </t>
    </r>
    <r>
      <rPr>
        <sz val="12"/>
        <color theme="1"/>
        <rFont val="Garamond"/>
        <family val="1"/>
      </rPr>
      <t>M300001</t>
    </r>
  </si>
  <si>
    <r>
      <t xml:space="preserve">Detajimi i Kostos Totale të </t>
    </r>
    <r>
      <rPr>
        <b/>
        <sz val="12"/>
        <color rgb="FFFF0000"/>
        <rFont val="Garamond"/>
        <family val="1"/>
      </rPr>
      <t>Produktit B</t>
    </r>
    <r>
      <rPr>
        <b/>
        <sz val="12"/>
        <color theme="1"/>
        <rFont val="Garamond"/>
        <family val="1"/>
      </rPr>
      <t xml:space="preserve"> sipas Artikujve Ekonomikë</t>
    </r>
  </si>
  <si>
    <t>Shënim: Shpjegoni supozimet dhe llogaritjet për Produktin B</t>
  </si>
  <si>
    <t xml:space="preserve">Shënim: Shpjegoni supozimet dhe llogaritjet për Produktin B </t>
  </si>
  <si>
    <t>Permiresimi i kushteve te punes dhe nevojave per transport</t>
  </si>
  <si>
    <t>Automjete te mirembajtura dhe te rinovuara</t>
  </si>
  <si>
    <t>Automjete te mirembajtura</t>
  </si>
  <si>
    <t>Mirembajtja teknike e automjeteve</t>
  </si>
  <si>
    <t>Numer automjetesh</t>
  </si>
  <si>
    <r>
      <t>Detajimi i Kostos Totale të</t>
    </r>
    <r>
      <rPr>
        <b/>
        <sz val="12"/>
        <color rgb="FFFF0000"/>
        <rFont val="Garamond"/>
        <family val="1"/>
      </rPr>
      <t xml:space="preserve"> Produktit C </t>
    </r>
    <r>
      <rPr>
        <b/>
        <sz val="12"/>
        <color theme="1"/>
        <rFont val="Garamond"/>
        <family val="1"/>
      </rPr>
      <t>sipas Artikujve Ekonomikë</t>
    </r>
  </si>
  <si>
    <r>
      <t xml:space="preserve">Kodi i Projektit të Investimeve: </t>
    </r>
    <r>
      <rPr>
        <sz val="12"/>
        <color theme="1"/>
        <rFont val="Garamond"/>
        <family val="1"/>
      </rPr>
      <t>M300002</t>
    </r>
  </si>
  <si>
    <t>Rinovimi i parkut te automjeteve</t>
  </si>
  <si>
    <t>numer/cope</t>
  </si>
  <si>
    <r>
      <t xml:space="preserve">Detajimi i Kostos Totale të </t>
    </r>
    <r>
      <rPr>
        <b/>
        <sz val="12"/>
        <color rgb="FFFF0000"/>
        <rFont val="Garamond"/>
        <family val="1"/>
      </rPr>
      <t>Produktit C</t>
    </r>
    <r>
      <rPr>
        <b/>
        <sz val="12"/>
        <color theme="1"/>
        <rFont val="Garamond"/>
        <family val="1"/>
      </rPr>
      <t xml:space="preserve"> sipas Artikujve Ekonomikë</t>
    </r>
  </si>
  <si>
    <t xml:space="preserve">Shënim: Shpjegoni supozimet dhe llogaritjet për Produktin C </t>
  </si>
  <si>
    <t>Sigurimi i pavaresise se veprimtarise se institucionit me kapacitetet njerezore, fondet e buxhetore dhe burimet materiale e sherbimet e nevojshme.</t>
  </si>
  <si>
    <t>Treguesit e Performancës për Objektivin 4</t>
  </si>
  <si>
    <t>Punonjes te punesuar sipas organikës</t>
  </si>
  <si>
    <t>Fonde buxhetore te harxhuara(ne % kundrejt totalit te buxhetit)</t>
  </si>
  <si>
    <r>
      <rPr>
        <b/>
        <sz val="12"/>
        <color rgb="FFFF0000"/>
        <rFont val="Garamond"/>
        <family val="1"/>
      </rPr>
      <t>Produkti D</t>
    </r>
    <r>
      <rPr>
        <sz val="12"/>
        <color theme="1"/>
        <rFont val="Garamond"/>
        <family val="1"/>
      </rPr>
      <t xml:space="preserve"> </t>
    </r>
  </si>
  <si>
    <t>Punonjes te motivuar</t>
  </si>
  <si>
    <t>Sigurimi i pavaresise se veprimtarise se institucionit me kapacitetet njerezore, fondet buxhetore dhe burimet materiale te nevojshme.</t>
  </si>
  <si>
    <t>Numer punonjesish</t>
  </si>
  <si>
    <r>
      <t>Detajimi i Kostos Totale të</t>
    </r>
    <r>
      <rPr>
        <b/>
        <sz val="12"/>
        <color rgb="FFFF0000"/>
        <rFont val="Garamond"/>
        <family val="1"/>
      </rPr>
      <t xml:space="preserve"> Produktit D </t>
    </r>
    <r>
      <rPr>
        <b/>
        <sz val="12"/>
        <color theme="1"/>
        <rFont val="Garamond"/>
        <family val="1"/>
      </rPr>
      <t>sipas Artikujve Ekonomikë</t>
    </r>
  </si>
  <si>
    <r>
      <t xml:space="preserve">Kodi i Projektit të Investimeve: </t>
    </r>
    <r>
      <rPr>
        <sz val="12"/>
        <color theme="1"/>
        <rFont val="Garamond"/>
        <family val="1"/>
      </rPr>
      <t>M300004</t>
    </r>
  </si>
  <si>
    <t>Paisje zyrash</t>
  </si>
  <si>
    <t>Produkti D</t>
  </si>
  <si>
    <r>
      <t xml:space="preserve">Detajimi i Kostos Totale të </t>
    </r>
    <r>
      <rPr>
        <b/>
        <sz val="12"/>
        <color rgb="FFFF0000"/>
        <rFont val="Garamond"/>
        <family val="1"/>
      </rPr>
      <t>Produktit D</t>
    </r>
    <r>
      <rPr>
        <b/>
        <sz val="12"/>
        <color theme="1"/>
        <rFont val="Garamond"/>
        <family val="1"/>
      </rPr>
      <t xml:space="preserve"> sipas Artikujve Ekonomikë</t>
    </r>
  </si>
  <si>
    <r>
      <t xml:space="preserve">Kodi i Projektit të Investimeve: </t>
    </r>
    <r>
      <rPr>
        <sz val="12"/>
        <color theme="1"/>
        <rFont val="Garamond"/>
        <family val="1"/>
      </rPr>
      <t>M300003</t>
    </r>
  </si>
  <si>
    <t>Pasurimi i fondit te librave të bibliotekës</t>
  </si>
  <si>
    <t>numer librash/copë</t>
  </si>
  <si>
    <t xml:space="preserve">Shënim: Shpjegoni supozimet dhe llogaritjet për Produktin D </t>
  </si>
  <si>
    <t>Emërtimi i Treguesit 1</t>
  </si>
  <si>
    <t>Emërtimi i Treguesit 2</t>
  </si>
  <si>
    <t xml:space="preserve">Veprimtaria e Komisionerit Publik </t>
  </si>
  <si>
    <t>Veprimtaria e Institucionit te Komisionereve Publike</t>
  </si>
  <si>
    <t xml:space="preserve">Sistemi i Rivleresimit te gjyqtareve dhe prokuroreve ne Republiken e Shqiperise ka per qellim garantimin e funksionimit te shtetit te se drejtes, pavaresine e sistemit te drejtesise si dhe rikthimin e besimit te publikut tek institucionet e ketij sistemi </t>
  </si>
  <si>
    <t xml:space="preserve">Respektimi i Afateve ligjore dhe parimit te procesit te rregullt dhe respektimit te te drejtave themelore te subjektit te rivleresimit, gjate ushtrimit te kompetencave ligjore te ankimit ndaj vendimeve te KPK.  </t>
  </si>
  <si>
    <t xml:space="preserve">Institucioni i Komisionereve Publike mbron interesin publik gjate kryerjes se procesit te rivleresimit dhe udhehiqet nga parimi i paanesise dhe pavaresise, procesit te rregullt ligjor, transparenca dhe fryma e bashkepunimit ndermjet dy komisionereve publike, Operacionit Nderkombetar te Monitorimit dhe institucioneve te tjera. </t>
  </si>
  <si>
    <t xml:space="preserve">Respektimi i Afateve ligjore gjate ushtrimit te kompetencave te ankimit ndaj vendimeve te KPK-se, respektimi i procesit te rregullt ligjor dhe transparences.  </t>
  </si>
  <si>
    <t xml:space="preserve">Aktiviteti vjetor i Instituconit te Komisionereve Publike </t>
  </si>
  <si>
    <t xml:space="preserve">Ushtrimi i plote bazuar ne detyrimet ligjore i aktivitetit te institucionit i cili konsiston ne paraqitjen e ankimeve kunder vendimeve te Komisionit te Pavarur te Kualifikimit </t>
  </si>
  <si>
    <t xml:space="preserve">Krijimi i Kushteve cilesore e profesionale te punes per Komisioneret Publike, Njesine Ligjore dhe stafin administrativ ne funksion te ushtrimit te aktivitetit </t>
  </si>
  <si>
    <t xml:space="preserve">Kushte pune cilesore e profesionale </t>
  </si>
  <si>
    <t xml:space="preserve">Pajisje Elektronike </t>
  </si>
  <si>
    <t>Produkti 1/Objektivi 2</t>
  </si>
  <si>
    <t xml:space="preserve">Blerje pajisje elektronike </t>
  </si>
  <si>
    <t xml:space="preserve">Sete Pune </t>
  </si>
  <si>
    <t xml:space="preserve">Jane perllogaritur nevojat per blerje te seteve te kopjuter e printer per keshilltaret </t>
  </si>
  <si>
    <t>Software menaxhimit çeshtjeve</t>
  </si>
  <si>
    <t>Produkti 2/Objektivi 2</t>
  </si>
  <si>
    <t>Software</t>
  </si>
  <si>
    <t xml:space="preserve">Software per aktivitetin financiar </t>
  </si>
  <si>
    <t>Produkti 3/Objektivi 2</t>
  </si>
  <si>
    <t xml:space="preserve">Pajisje e mobilje zyre </t>
  </si>
  <si>
    <t>Produkti 4/Objektivi 2</t>
  </si>
  <si>
    <t xml:space="preserve">Blerje pajisje e mobilje  ( Sete pune ) </t>
  </si>
  <si>
    <t>Blerje automjeti</t>
  </si>
  <si>
    <t>Produkti 5/Objektivi 2</t>
  </si>
  <si>
    <t>Automjet</t>
  </si>
  <si>
    <t>Programi koordinon dhe monitoron performancën e institucionit, veçanërisht për të promovuar një përdorim më efiçent dhe efektiv të burimeve njerëzore dhe financiare në mbrojtje të të dhënave dhe interesave të ligjshme të kandidatëve, ofertuesve apo furnizuesve nga veprimet apo mosveprimet e paligjshme e të parregullta të autoriteteve kontraktore në fushën e prokurimit publik, nëpërmjet hetimit të procedurave administrative të prokurimeve publike.</t>
  </si>
  <si>
    <t>Permiresimi i menaxhimit te burimeve financiare, njerezore dhe materiale ne funksion te qellimit te institucionit, hetimit te procedurave te prokurimeve te kryera nga autoritetet kontraktore me fondet publike, nepermjet administrimit eficent te burimeve financiare; permiresimit ne vazhdimesi te aftesive profesionale te stafit te institucionit; si dhe permiresimit dhe perafrimit te kushteve  te punes me standardet e BE deri ne vitin 2019. Nje perafrim i cili do te synoje ne rritjen e kapacitetit hetues ne keto procedura prokurimi, duke e bere me eficient sistemin e prokurimit publik ne Shqiperi.</t>
  </si>
  <si>
    <t>Vendime mbi hetimin e procedurave të prokurimit</t>
  </si>
  <si>
    <t>Shqyrtimi ne kohe dhe me efiçence i ankesave</t>
  </si>
  <si>
    <t>Vendime të marra</t>
  </si>
  <si>
    <t>(ne mije leke)</t>
  </si>
  <si>
    <t>M870019</t>
  </si>
  <si>
    <t>Ridizenjim ëebsite, blerje database</t>
  </si>
  <si>
    <t>Planifikim, menaxhim dhe administrim</t>
  </si>
  <si>
    <t xml:space="preserve">Planifikimi, manaxhimi dhe administrimi i burimeve njerezore, mjeteve monetare me qellim perdorimin e tyre me efektivitet per realizimin e objektivave te Komisionit Qendror te Zgjedhjeve  </t>
  </si>
  <si>
    <t xml:space="preserve">Perdorim me ekonomi, me efektivitet dhe eficence i burimeve njerezore, mjeteve monetare me qellim krijimin e kushteve sa me te mira te punes per trupen e KQZ-se dhe administraten e Komisionit Qendror te Zgjedhjeve </t>
  </si>
  <si>
    <t xml:space="preserve">Perdorimi i fondeve buxhetore ne perputhje me parashikimin  </t>
  </si>
  <si>
    <t>Permiresimi  dhe sigurimi i kushteve optimale te punes</t>
  </si>
  <si>
    <t xml:space="preserve">standartene mirembajtjen e godines dhe zyrave </t>
  </si>
  <si>
    <t xml:space="preserve">nivel aktual </t>
  </si>
  <si>
    <t xml:space="preserve"> Administrate e trajnuar kundrejt totalit</t>
  </si>
  <si>
    <t xml:space="preserve">Ambjente pune te mirembajtura </t>
  </si>
  <si>
    <t xml:space="preserve">Realizimi i mirmbajtjes se ambjenteve per nje funksionim normal te punes </t>
  </si>
  <si>
    <t>numer zyrash</t>
  </si>
  <si>
    <t>staf funksional</t>
  </si>
  <si>
    <t>veprimtaria e perditshme ne relazimin e funksionit te institucionit</t>
  </si>
  <si>
    <t>nr pun</t>
  </si>
  <si>
    <t>pajisje informatike dhe zyre</t>
  </si>
  <si>
    <t xml:space="preserve">blerje e pajisjeve kompjuterike </t>
  </si>
  <si>
    <t>01610</t>
  </si>
  <si>
    <t>Pergatitja, mbikqyrja, drejtimi dhe verifikimi i te gjitha aspekteve qe kane te bejne me zgjedhjet dhe referendumet dhe shpallja e rezultatit te tyre.</t>
  </si>
  <si>
    <t xml:space="preserve">Organizimi dhe manaxhimi i zgjedhjeve cilesore dhe me starndartet e kerkuara.  </t>
  </si>
  <si>
    <t>Permiresimi  i kapaciteteve dhe sigurimi i infrastruktures se nevojshme per te zhvilluar nje proces zgjedhor te lire dhe demokratik</t>
  </si>
  <si>
    <t xml:space="preserve">Proces zgjedhor I realizuar </t>
  </si>
  <si>
    <t xml:space="preserve">trajnimi I komisionereve, edukimi I zgjedhesve si dhe sigurimi I logjistikes dhe infrastruktures zgjedhore </t>
  </si>
  <si>
    <t xml:space="preserve">numer procesi </t>
  </si>
  <si>
    <t>VEPRIMTARI  ARSIMORE</t>
  </si>
  <si>
    <t>09820</t>
  </si>
  <si>
    <t>Fusha e veprimit të këtij programi konsiston në planifikimin, menaxhimin dhe administrimin me efikasitet të fondeve buxhetore me qëllim realizimin e objektivave kryesore të tij, në lidhje me procesin e formimit fillestar dhe të vazhduar të magjistratëve, avokatë shteti, keshilltar/ndihmës ligjor, kancelar, si dhe në drejtim të punës kërkimore shkencore dhe botimeve.</t>
  </si>
  <si>
    <t xml:space="preserve">Funksionimi si nje institucion i pavarur me kapacitete menaxhuese te plota me qellim konsolidimin e formimit profesional të magjistratëve, përmirësimin e funksionimit të sistemit gjyqësor duke rritur efikasitetin, transparencën dhe aksesueshmërinë, nëpërmjet rritjes profesionale të personelit të gjykatave dhe prokurorive në përputhje me standartet evropiane.                                                 </t>
  </si>
  <si>
    <t>Norma e rekrutimit te kandidateve per magjistrate,avokate shteti,keshilltare,ndihmes ligjore dhe kandidate per kancelare te gjykatave e prokurorive</t>
  </si>
  <si>
    <t>Norma e realizimit te kandidateve per magjistrate,avokate shteti,keshilltare,ndihmes ligjore dhe kandidate per kancelare te gjykatave e prokurorive</t>
  </si>
  <si>
    <t>50.86%</t>
  </si>
  <si>
    <t>49.93%</t>
  </si>
  <si>
    <t>48.48%</t>
  </si>
  <si>
    <t>5.11%</t>
  </si>
  <si>
    <t>Norma e realizimit te sesioneve trajnuese per magjistrate e avokate shteti ne detyre dhe ndihmes ligjore e kancelare qe punojne ne gjykata e prokurori</t>
  </si>
  <si>
    <t>37.81</t>
  </si>
  <si>
    <t>35.25%</t>
  </si>
  <si>
    <t>38.49%</t>
  </si>
  <si>
    <t>33.91%</t>
  </si>
  <si>
    <t>Norma e realizimit te botimeve periodike e shkencore</t>
  </si>
  <si>
    <t>7.7%</t>
  </si>
  <si>
    <t>9.54%</t>
  </si>
  <si>
    <t>8.59%</t>
  </si>
  <si>
    <t>8.56%</t>
  </si>
  <si>
    <t xml:space="preserve"> Procesi i rekrutimit për formimin fillestar të kandidatëve për magjistratë, të kandidatëve për pozicionet në Avokaturën e Shtetit,  të kandidatëve për këshilltar/ndihmës ligjor, si dhe të kandidatëve për kancelar të gjykatave e prokurorive.</t>
  </si>
  <si>
    <t>Norma e rekrutimit te  kandidateve per magjistrate,avokate shteti,keshilltare,ndihmes ligjore te gjykatave dhe prokurorive</t>
  </si>
  <si>
    <t>46.96%</t>
  </si>
  <si>
    <t>50.92%</t>
  </si>
  <si>
    <t>54.92%</t>
  </si>
  <si>
    <t>Norma e rekrutimit te kandidateve per  kancelare te gjykatave e prokurorive</t>
  </si>
  <si>
    <t>8.84%</t>
  </si>
  <si>
    <t>38%</t>
  </si>
  <si>
    <t>33.12%</t>
  </si>
  <si>
    <t>Realizimi i rekrutimit te 25 kandidateve per magjistrate, 25 avokate shteti/ndihmes e keshilltare ligjor</t>
  </si>
  <si>
    <t xml:space="preserve">numer kandidate </t>
  </si>
  <si>
    <t xml:space="preserve">Realizimi i procesit te rekrutimit per 20 kancelare </t>
  </si>
  <si>
    <t>Numer kancelare</t>
  </si>
  <si>
    <t>M550001</t>
  </si>
  <si>
    <t>Produkti 3 (shto produkte sipas rastit)</t>
  </si>
  <si>
    <t>Blerje 11 cope Kompjutera</t>
  </si>
  <si>
    <t>Blerja e 11 cope  kompjutera,</t>
  </si>
  <si>
    <t xml:space="preserve">Shënim: Shpjegoni supozimet dhe llogaritjet për Produktin 3 </t>
  </si>
  <si>
    <t xml:space="preserve"> Programi i formimit/trajnimit fillestar të kandidatëve për magjistratë, të kandidatëve për pozicionet në Avokaturën e Shtetit,  të kandidatëve për këshilltar/ndihmës ligjor, si dhe të kandidatëve për kancelar të gjykatave e prokurorive</t>
  </si>
  <si>
    <t>97.43%</t>
  </si>
  <si>
    <t>92.68%</t>
  </si>
  <si>
    <t>100%</t>
  </si>
  <si>
    <t>99.01%</t>
  </si>
  <si>
    <t>2.57%</t>
  </si>
  <si>
    <t>6.22%</t>
  </si>
  <si>
    <t>0.00%</t>
  </si>
  <si>
    <t xml:space="preserve">Realizimi i programit teoriko-praktik te ciklit 2-3 vjecar per 65 Kandidate  megjistrate dhe  25 avokate, keshilltar e ndihmesa  ligjor </t>
  </si>
  <si>
    <t>Realizimi i programit teoriko-praktik te ciklit 3 mujor per 20 kancelare</t>
  </si>
  <si>
    <t>Realizimi i programit teoriko-praktik i ciklit 2 vjecar per 25 ndihmesa e keshilltare ligjore (rivlersimi ex officio)</t>
  </si>
  <si>
    <t>Realizimi i programit teoriko-praktik i ciklit 2 vjecarper 25 ndihmesa e keshilltare ligjore (rivlersimi ex officio)</t>
  </si>
  <si>
    <t>Hartim/krijim te 20  kurikula</t>
  </si>
  <si>
    <t>Hartim/krijim te 20 kurikula</t>
  </si>
  <si>
    <t>numer kurikula</t>
  </si>
  <si>
    <t xml:space="preserve">Konsolidimi i Programit të  Formimit/Trajnimit Vazhdues të magjistratëve në detyrë, të avokatëve të shtetit në detyrë dhe këshilltar/ndihmës ligjor e kancelarë që punojnë në gjykata dhe prokurori nëpërmjet zhvillimit të sesioneve trajnuese për të gjitha këto kategori.
</t>
  </si>
  <si>
    <t>65.33%</t>
  </si>
  <si>
    <t>71.42%</t>
  </si>
  <si>
    <t>67.70%</t>
  </si>
  <si>
    <t>13.79%</t>
  </si>
  <si>
    <t>11.37%</t>
  </si>
  <si>
    <t>12.86%</t>
  </si>
  <si>
    <t>Realizimi i 230 sesioneve trajnuese per magjistrate, avokate shteti, ndihmesa ligjore.</t>
  </si>
  <si>
    <t>Nr. sesione trajnuese</t>
  </si>
  <si>
    <t>Realizimi i  20 sesioneve trajnuese per kancelare qe punojne ne gjykata e prokurori</t>
  </si>
  <si>
    <t>Dieta per 25 pjesmarres ne 230 sesione trajnuese</t>
  </si>
  <si>
    <t>Nr. pjesmarresish</t>
  </si>
  <si>
    <t xml:space="preserve">Shënim: Shpjegoni supozimet dhe llogaritjet për Produktin 3 (Metoda 2) </t>
  </si>
  <si>
    <t>Kategoria 2: Shpenzimet per projekte investimesh</t>
  </si>
  <si>
    <t>M5500009</t>
  </si>
  <si>
    <t>Blerje  1 cope Autoveture</t>
  </si>
  <si>
    <t>Shënim: Shpjegoni supozimet dhe llogaritjet për Produktin 4 (Metoda 2)***</t>
  </si>
  <si>
    <t>Konsolidimi i veprimtarisë kërkimore-shkencore, botimeve dhe publikimeve në fusha të ndryshme juridike, për krijimin gradual të një qëndre burimore për të drejtën e BE, si dhe rritja e përmirësimi i kapaciteteve institucionale nëpërmjet ndërtimit të një godine të re dhe bashkëkohore për Shkollën e Magjistraturës.</t>
  </si>
  <si>
    <t xml:space="preserve">Norma e realizimit te botimeve te 3 nr. reviste </t>
  </si>
  <si>
    <t>50%</t>
  </si>
  <si>
    <t>46.22%</t>
  </si>
  <si>
    <t>Norma e realizimit te botimeve te 3 librave profesionale</t>
  </si>
  <si>
    <t>52.23%</t>
  </si>
  <si>
    <t>Produktet për Objektivin 4</t>
  </si>
  <si>
    <t xml:space="preserve">Botimi i 3 nr.te revistes Jeta Juridike  </t>
  </si>
  <si>
    <t>nr.botimesh</t>
  </si>
  <si>
    <t>Perkthimi,botimi i 3 librave profesionale</t>
  </si>
  <si>
    <t>M550005</t>
  </si>
  <si>
    <t>Pasurimi i Fondit te  bibliotekes me 200 cope libra</t>
  </si>
  <si>
    <t>M550008</t>
  </si>
  <si>
    <t>Kosto e hartimit te projektit te fazes IV+V+VI sipas projekt-idese se ndertimit te Godines se Shkolles</t>
  </si>
  <si>
    <t>Buxheti Gjyqesor</t>
  </si>
  <si>
    <t>Ky program konsiston ne mbeshtetjen buxhetore te sherbimeve gjyqesore dhe permiresimin e infrastruktures se  gjykatave me qellim sjelljen e tyre ne parametrat dhe cilesine e performances se ngjashme me vendet e BE.</t>
  </si>
  <si>
    <t>Menaxhimi me efektivitet dhe efiçence i fondeve buxhetore qe miratohen per Pushtetin Gjyqesor, ne mbeshtjetje te realizimit te objektivave te percaktuara per  ZABGJ dhe gjykatat.</t>
  </si>
  <si>
    <t>Administrim ne menyre efiçente dhe efektive i buxhetit vjetor te pushtetit gjyqesor</t>
  </si>
  <si>
    <t>Hartimi i politikave buxhetore dhe proçedurave per administrimin efektiv te fondeve, nepermjet analizave te monitorimit, standartizimit te shpenzimeve operative dhe auditimit te gjykatave.</t>
  </si>
  <si>
    <t>Masa e realizimit te fondeve buxhetore per gjykatat</t>
  </si>
  <si>
    <t>Buxheti vjetor per Pushtetin Gjyqesor i administruar ne menyre eficente dhe efektive</t>
  </si>
  <si>
    <t>Do te kryhet planifikimi, monitorimi dhe auditimi i fondeve buxhetore te gjykatave si edhe do te realizohet blerja e mallrave e sherbime per ushtrimin e aktivitetit te ZABGJ.</t>
  </si>
  <si>
    <t>Numer Institucioni</t>
  </si>
  <si>
    <t>M290072</t>
  </si>
  <si>
    <t>Produkti K</t>
  </si>
  <si>
    <t>Pajisje elektronike per ZABGJ</t>
  </si>
  <si>
    <t>Do realizohet blerja e pajisjeve elektronike per zabgj</t>
  </si>
  <si>
    <t>Kosto totale e produktit K</t>
  </si>
  <si>
    <t xml:space="preserve">Shënim: Shpjegoni supozimet dhe llogaritjet për Produktin K </t>
  </si>
  <si>
    <t>Eshte parashikuar sipas 3 viteve rifreskim dhe rinovim i pajisjeve ekzituese elektronike.</t>
  </si>
  <si>
    <t>03310</t>
  </si>
  <si>
    <t xml:space="preserve">Arritja e standarteve bashkohore e sherbimit gjyqesor ne gjykatat e tre niveleve, per te kontribuar ne funksionimin e nje Pushteti Gjyqesor te pavarur,te pergjegjshem dhe transparent.Realizimi i kesaj politike eshte shtrire  deri ne vitin 2021. </t>
  </si>
  <si>
    <t>Menaxhimi me efektivitet dhe eficence i fondeve buxhetore qe miratohen per pushtetin gjyqesor.</t>
  </si>
  <si>
    <t>Krijimi i kushteve cilesore te zhvillimit te proceseve gjyqesore, nepermjet mbeshtetjes se plote financiare te aktivitetit te gjykatave; permiresimit te infrastruktures ndertimore, kushteve te punes, gjykimit dhe sherbimit.</t>
  </si>
  <si>
    <t>Niveli i funksionimit sipas standarteve bashkohore për gjykatat, lidhur me kushtet e punes, gjykimit dhe sherbimit.</t>
  </si>
  <si>
    <t>Norma e permiresimit të elementeve të sigurisë në gjykata.</t>
  </si>
  <si>
    <t>Çeshtje te gjykuara</t>
  </si>
  <si>
    <t>Realizimi i proceseve gjyqesore nga gjyqtaret dhe stafi mbeshtetes</t>
  </si>
  <si>
    <t>Numer ceshtjesh</t>
  </si>
  <si>
    <t>M290068</t>
  </si>
  <si>
    <t>Rikonstruksion</t>
  </si>
  <si>
    <t>Siperfaqe godine e rikonstruktuar</t>
  </si>
  <si>
    <t>Do te kryhet rikonstruksioni i godinave te gjykatave</t>
  </si>
  <si>
    <t>metra 2</t>
  </si>
  <si>
    <t xml:space="preserve">Shënim: Shpjegoni supozimet dhe llogaritjet për Produktin E </t>
  </si>
  <si>
    <t>Per vitin 2019 eshte parashikuar 60 m2 shtim siperfaqe pune ne nje gjykate, per vitet 2020-2021 eshte parashikuar te kryhet rikonstruksioni i plote i nje gjykate i shtrire ne dy vite. Projekti i rikonstruksionit eshte hartuar ne vitin 2011.</t>
  </si>
  <si>
    <t>Produkti F</t>
  </si>
  <si>
    <t>Mobilje per zyra dhe salla gjyqi ne gjykata</t>
  </si>
  <si>
    <t>Do furnizohen gjykatat me pajisje dhe mobilje per zyra dhe salla gjyqi</t>
  </si>
  <si>
    <t>Nr institucionesh</t>
  </si>
  <si>
    <t>Kosto totale e produktit F</t>
  </si>
  <si>
    <t xml:space="preserve">Shënim: Shpjegoni supozimet dhe llogaritjet për Produktin F </t>
  </si>
  <si>
    <t xml:space="preserve">Jane parashikuar sipas viteve rinovim pajisje mobilje zyre dhe salla gjyqi, arshiva. Plotesim nevoja mobilje te reja per ambjentet e pamobiluara ne 2 gjykata (2019), sipas standarteve.Plotesim me pajisje ftohese per dhomat e serverave  dhe kondicionere per 7 gjykata. Per vitin 2021 eshte parashikuar plotesimi me pajisje mobilje te 2 gjykatave te reja qe do perfundojne po ate vit. </t>
  </si>
  <si>
    <t>Produkti G</t>
  </si>
  <si>
    <t>Elemente sigurie per gjykatat</t>
  </si>
  <si>
    <t>Do te instalohen  elementeve te sigurise ne gjykata</t>
  </si>
  <si>
    <t>Kosto totale e produktit G</t>
  </si>
  <si>
    <t>Shënim: Shpjegoni supozimet dhe llogaritjet për Produktin G</t>
  </si>
  <si>
    <t xml:space="preserve">Per 2019 eshte parashikuar kompletimi me elemente sigurie ne 2 gjykata te dhomave te reja te serverave, pajisje me sisteme kamera 7 gjykata, pajisje me dere dedektimi te re 1 gjykate; pajisje akses kontrolli ne 7 gjykata.Per 2020-2021 jane parashikuar pajisje sigurie per 2 gjykatat e reja dhe nje ekzistuese. </t>
  </si>
  <si>
    <t>Produkti H</t>
  </si>
  <si>
    <t>Pajisje te tjera ne funksion te aktivitetit te gjykatave</t>
  </si>
  <si>
    <t xml:space="preserve">Pajisje te tjera  te domosdoshme per disa ambjente te gjykatave  </t>
  </si>
  <si>
    <t>Kosto totale e produktit H</t>
  </si>
  <si>
    <t>Shënim: Shpjegoni supozimet dhe llogaritjet për Produktin H</t>
  </si>
  <si>
    <t>Jane parashikuar  gjenerator per 1  gjykate, pajisje me qender zeri per 3 gjykata,pajisje me inverter 3 gjykata, pajisje te tjera per 2 gjykatat e reja qe do ndertohen.</t>
  </si>
  <si>
    <t>M290075</t>
  </si>
  <si>
    <t xml:space="preserve">Blerje automjetesh </t>
  </si>
  <si>
    <t>Produkti I</t>
  </si>
  <si>
    <t>Automjete per gjykatat</t>
  </si>
  <si>
    <t>Do te blihen automjete per gjykatat</t>
  </si>
  <si>
    <t>Shënim: Shpjegoni supozimet dhe llogaritjet për Produktin I</t>
  </si>
  <si>
    <t>Jane parashikuar plotesim pjesor i kerkesave sipas viteve per 21 gjykata.</t>
  </si>
  <si>
    <t>Blerje Motorçikleta</t>
  </si>
  <si>
    <t>Produkti J</t>
  </si>
  <si>
    <t>Motorçikleta per gjykatat</t>
  </si>
  <si>
    <t>Do te blihen motorçikleta per gjykatat</t>
  </si>
  <si>
    <t>Kosto totale e produktit J</t>
  </si>
  <si>
    <t>Shënim: Shpjegoni supozimet dhe llogaritjet për Produktin J</t>
  </si>
  <si>
    <t>Jane parashikuar per 2019 blerja e 15 motorcikletave per ftuesit e gjyqeve, per 7 gjykata.</t>
  </si>
  <si>
    <t>M290087</t>
  </si>
  <si>
    <t>Ndertim godine e re</t>
  </si>
  <si>
    <t>Siperfaqe godine e re</t>
  </si>
  <si>
    <t>Ky produkt konsiston ne ndertimin e godinave te reja per gjykatat.</t>
  </si>
  <si>
    <t xml:space="preserve">Parashikuar te ndertohet godina e re per Gjykaten e Rrethit Gjyqesor Shkoder me vlere totale te investimit  241,240 mije leke. Nese e parashikojme sipas tavaneve vlera e dy viteve 2020 dhe 2021 eshte 142,550 mije leke dhe 2245 metra2, vlera e mbetur 98,690 mije leke (1555metra 2) kerkon fonde shtese buxhetore. </t>
  </si>
  <si>
    <t xml:space="preserve">M290066 </t>
  </si>
  <si>
    <t>Projekt zbatimi per godina</t>
  </si>
  <si>
    <t>Hartimi i projekteve per ndertimin e godinave te reja per gjykatat</t>
  </si>
  <si>
    <t>Numer projektesh</t>
  </si>
  <si>
    <t>\</t>
  </si>
  <si>
    <t>Shënim: Shpjegoni supozimet dhe llogaritjet për Produktin C</t>
  </si>
  <si>
    <t>Jane parashikuar 3 hartim projektesh per rikonstruksion te pjesshem (shtesa kati) ne 2 gjykata dhe nje implementimi i nje projektit   per mbrojtjen kundra zjarrit, vetem ne vitin 2019.</t>
  </si>
  <si>
    <t xml:space="preserve"> Permiresimi dhe zhvillimi i infrastruktures elektronike te gjykatave , ne funksion te rritjes  se cilesise dhe transparences se procesit gjyqesor dhe sherbimit  ndaj publikut.</t>
  </si>
  <si>
    <t>Pajisje elektronike per gjykatat</t>
  </si>
  <si>
    <t>Do realizohet blerja e pajisjeve elektronike per gjykatat</t>
  </si>
  <si>
    <t>Eshte parashikuar per 2019-2021, zevendsimi i pajisjeve kryesore kompjuter, printer, server etj. nga 2008-2014;instalimi i sistemit audio ne 23 gjykata, implementim i rrjetit te ri kompjterik e telefonik per 1 gjykate dhe 2 dhoma serveri ne 2 gjykata.</t>
  </si>
  <si>
    <t>"Planifikimi, Menaxhimi dhe Administrimi"</t>
  </si>
  <si>
    <t>1110</t>
  </si>
  <si>
    <t>Fuqizimi i kapaciteteve të nevojshme për mirëfunksionimin e Zyrës së Komisionerit për Mbrojtjen nga Diskriminimi; përafrimi i legjislacionit në fushën e zbatimit të parimit të barazisë dhe mosdiskriminimit me legjislacionin e Bashkimit Europian; sigurimi i zbatimit të legjislacionit ekzistues dhe zbatimi i strategjive për realizimin e këtij synimi; vendosja e marrdhenjeve dhe hartimi marreveshjeve të bashkëpunimit me të gjithë aktorët që ndikojnë në zbatimin e kërkesave ligjore në fushën e zbatimit të parimit të barazisë; nxitja dhe ndërgjegjësimi i komuniteteve që kanë interes të drejtpërdrejtë si dhe të gjithe shoqërisë mbi mundësitë e zbatimit të parimit të mësipërm, për të garantuar maksimalisht parimin e barazisë dhe mosdiskrimimit.</t>
  </si>
  <si>
    <t>Sigurimi i të  drejtës së çdo personi për  barazi përpara ligjit dhe mbrojtje të barabartë nga ligji, barazi të shanseve dhe mundësive për të ushtruar të drejtat, për të gëzuar liritë dhe për të marrë pjesë në jetën publike, mbrojtje efektive nga diskriminimi dhe nga çdo formë sjellje që nxit diskriminimin.</t>
  </si>
  <si>
    <t>Raste të suksesshme diskriminimi ndaj totalit të cështjeve të gjykuara (numri i vendimeve te konfirmuara nga gjykata me forme prere dhe vendime diskriminimi dhe demshperblim, ne raport me numrin total te çeshtjeve gjyqesore)</t>
  </si>
  <si>
    <t xml:space="preserve">Evidentimi në kohë dhe trajtimi me efektivitet i cështjeve të diskriminimit </t>
  </si>
  <si>
    <t>Cështje të iniciuara nga KMD</t>
  </si>
  <si>
    <t xml:space="preserve">Ankesa drejtuar KMD </t>
  </si>
  <si>
    <t>Ankesa ndaj sektorit privat</t>
  </si>
  <si>
    <t xml:space="preserve">Vendime diskriminimi të zbatuara nga subjektet të cilave u drejtohen </t>
  </si>
  <si>
    <t>Cështje të përfaqësuara me efektivitet në gjykatë (numri i vendimeve te konfirmuara nga gjykata me forme prere dhe vendime diskriminimi dhe demshperblim, ne raport me numrin total te çeshtjeve gjyqesore)</t>
  </si>
  <si>
    <t>Vendimet e KMD</t>
  </si>
  <si>
    <t>Procedurat administrative: hetime dhe inspektime, seanca dëgjimore, komunikime shkresore, vendimmarrje</t>
  </si>
  <si>
    <t xml:space="preserve"> numër</t>
  </si>
  <si>
    <t>Produkti2</t>
  </si>
  <si>
    <t xml:space="preserve">Prapësime, shpjegime dhe mendime me shkrim përpara gjykatës dhe procedurat e ekzekutimit te vendimeve te KMD </t>
  </si>
  <si>
    <t>Përfaqësimi në procese gjyqësore, përfshirë hartimin e dokumentacionit, përcjelljen e akteve dhe ndjekjen e seancave, si dhe procedurat për ekzekutimin e titujve ekzekutiv, vendimeve te KMD.</t>
  </si>
  <si>
    <t>Rrjtja e ndërgjegjësimit të qytetarëve, institucioneve dhe organizatave me interesa legjitime, në Shqipëri, lidhur me mbrojtjen nga dsikriminimi dhe rolin e KMD-së dhe bashkëpunimit me aktorë të ndryshëm.</t>
  </si>
  <si>
    <t xml:space="preserve">Vendime mospranimi të ankesës </t>
  </si>
  <si>
    <t>Informacione të referuara nga organizata me interesa legjitime, institucione etj.</t>
  </si>
  <si>
    <t>Rritja e numrit të ankesave</t>
  </si>
  <si>
    <t>Qytetarë të ndërgjegjësuar</t>
  </si>
  <si>
    <t>Qytetarë të informuar lidhur me mbrojtjen nga diskriminimi, rolin e KMD-së dhe Barazinë Gjinore.</t>
  </si>
  <si>
    <t xml:space="preserve">Punonjës, të sektorit publik dhe privat, të trajnuar </t>
  </si>
  <si>
    <t xml:space="preserve">Punonjës, të sektorit publik dhe privat, të trajnuar në lidhje me mbrojtjen nga diskriminimi, rolin e KMD-së dhe Barazinë Gjinore. </t>
  </si>
  <si>
    <t xml:space="preserve">Përshtatje e zyrave </t>
  </si>
  <si>
    <t>Pershtatje e ambjenteve te KMD per Arkiv/Protokoll</t>
  </si>
  <si>
    <t>Sipërfaqe në m2</t>
  </si>
  <si>
    <t xml:space="preserve">Pajisja e zyrave te KMD me qellim permbushjen e nevojave te stafit per mirefunksionimin </t>
  </si>
  <si>
    <t>Pajisje kompjuterike (informatike)</t>
  </si>
  <si>
    <t>Pajisja e punonjësve të KMD me qëllim përmbushjen e nevojave të stafit për ushtrimin e detyrave të tyre</t>
  </si>
  <si>
    <t>Planifikim, Menaxhim dhe Administrim</t>
  </si>
  <si>
    <t>Ndergjegjesimi  dhe njohja e opinionit publik, shkencor dhe akademik nepermjet botimit, publikimit dhe shpërndarjes të të gjitha materialeve të mbledhura dhe të analizuara të periudhës së regjimit komunist.</t>
  </si>
  <si>
    <t>% e numrit te librave, vellimet e Enciklopedise, numri dokumentat e marra nga arkivat e ndryshme, dhe nr i intervistave me ish te denuar te mbetur akoma gjalle, dokumentar e minidokumentar per ate periudhe</t>
  </si>
  <si>
    <t xml:space="preserve">trend rrites </t>
  </si>
  <si>
    <t>Pergatitja dhe botimi i "Fjalorit enciklopedik të viktimave të terrorit Komunist", Vëllimi  VII,  germa R-S dhe  Kolanes 13-15 librave qe jane deshmi, memuare, studime shkencore, albume  etj</t>
  </si>
  <si>
    <t>Nr i librave te botuar nga ISKK</t>
  </si>
  <si>
    <t xml:space="preserve">Libra për  të botuar - Enciklopedia vëllimi i VII. </t>
  </si>
  <si>
    <t>Pergatitja dhe botimi i "Fjalorit enciklopedik të viktimave të terrorit Komunist", Vëllimi  VII,  germa R-S dhe i 13-15 librave qe jane deshmi, memuare, studime shkencore, albume  etj</t>
  </si>
  <si>
    <t>M920008</t>
  </si>
  <si>
    <t xml:space="preserve">Zgjerimi i kapaciteteve te bibliotekes </t>
  </si>
  <si>
    <t>Zgjerimi i rafteve te bibliotekes per ekzpozimin e librave te botuar ne ambjente te tjera brenda ISKK</t>
  </si>
  <si>
    <t>M920009</t>
  </si>
  <si>
    <t>Zevendesimi i pajisjeve kompjuterike</t>
  </si>
  <si>
    <t>Blerje pajisje kompjuterike</t>
  </si>
  <si>
    <t>ISKK, ne funksion te rritjes se efikasitetit te punes se punonjesve merr persiper te bleje pajisje te reja kompjuterike sipas standarteve ne fuqi te AKSHI-it</t>
  </si>
  <si>
    <t xml:space="preserve">  </t>
  </si>
  <si>
    <t>Veprimtaria   Statistikore</t>
  </si>
  <si>
    <t>01320</t>
  </si>
  <si>
    <t>Konsiston në prodhimin e të dhënave statistikore zyrtare, cilësore dhe të besueshme, të nevojshme për vëzhgimin e situatës socio-ekonomike në Republikën e Shqipërisë, duke respektuar të drejtën e përdoruesve për të dhëna zyrtare si dhe në përmbushje të detyrimeve që lindin nga Programi pesëvjeçar për Statistikat Zyrtare, i miratuar nga Kuvendi. Cilësia statistikore arrihet nëpërmjet përmirësimit të funksionimit dhe menaxhimit të Institucionit, zhvillimit të kapaciteteve menaxhuese në implementimin e objektivave afatshkurtra dhe afatmesme që bëjnë të mundur përmbushjen e standarteve të vendosura nga BE , në garantimin e përmirësimit të vazhdueshëm të përdorimit të burimeve njerzore dhe financiare të INSTAT-it.</t>
  </si>
  <si>
    <t xml:space="preserve">Rritja e cilësisë  së prodhimit statistikor dhe shtimi i burimeve primare të të dhënave nëpërmjet përforcimit të kapaciteteve profesionale të stafit të INSTAT dhe përmirësimit të infrastrukturës së prodhimit statistikor. </t>
  </si>
  <si>
    <t xml:space="preserve">Rritja e numrit të publikimeve </t>
  </si>
  <si>
    <t>Rritja e kapaciteteve të institucionit</t>
  </si>
  <si>
    <t>Përmirësimi i cilësisë së vrojtimeve statistikore</t>
  </si>
  <si>
    <t>Rritja e njësive statistikore të vrojtuara</t>
  </si>
  <si>
    <t>Rritja e  numrit  të anketuesve të trajnuar.</t>
  </si>
  <si>
    <t>Njësi statistikore të vrojtuara</t>
  </si>
  <si>
    <t>Rritja e numrit të njësive statistikore për marrjen e informacioneve ekonomiko- sociale, për të zgjeruar shkallën e përfaqësimit të popullatës.</t>
  </si>
  <si>
    <t>Numer</t>
  </si>
  <si>
    <t>Anketues, operatorë dhe kontrollorë të trajnuar</t>
  </si>
  <si>
    <t>Trajnimi profesional i anketuesve, operatorëve, kontrollorëve për realizimin me cilësi të vrojtimeve statistikore.</t>
  </si>
  <si>
    <t>Prodhimi dhe shpërndarja në kohë e me cilësi  të produkteve statistikore.</t>
  </si>
  <si>
    <t>Produkte statistikore te publikuara</t>
  </si>
  <si>
    <t>Koferenca të zhvilluara</t>
  </si>
  <si>
    <t>Produktet për Objektivin2</t>
  </si>
  <si>
    <t>Te dhena statistikore   te publikuara</t>
  </si>
  <si>
    <t>Publikimi i rezultateve të produkteve statistikore  tek përdoruesit me anë të  mjeteve të komunikimit .</t>
  </si>
  <si>
    <t>Koferenca te zhvilluara</t>
  </si>
  <si>
    <t>Zhvillimi i koferencave për shpërndarjen e rezultateve statistikore.</t>
  </si>
  <si>
    <t>Rritja e perfomancës  së  institucionit duke aplikuar një menaxhim të lartë administrativ, financiar dhe   njerëzor.</t>
  </si>
  <si>
    <t>Rritja e numrit të punonjesve të trajnuar</t>
  </si>
  <si>
    <t>Rritja e numrit të auditimeve të kryera</t>
  </si>
  <si>
    <t>Personel i trajnuar</t>
  </si>
  <si>
    <t xml:space="preserve">Pjesemarrja e personelit në vrojtimet statistikore,në kurse te ndryshme , seminare, work shope  etj.      
</t>
  </si>
  <si>
    <t>Auditime te kryera.</t>
  </si>
  <si>
    <t>Auditime te kryera per zbatimin e ligjishmerise dhe perdorimin me efektivitet te fondeve buxhetore</t>
  </si>
  <si>
    <t>Përmirësimi i infrastrukturës së prodhimit statistikor</t>
  </si>
  <si>
    <t>Përditësimi i programeve kompjuterike</t>
  </si>
  <si>
    <t>Përmirësimi i infrastruktures IT</t>
  </si>
  <si>
    <t xml:space="preserve"> Licenca të blera .</t>
  </si>
  <si>
    <t>Blerja e licencave të software-ve për të përditësuar infrastrukturen e nevojshme për kryerjen e proceseve të përpunimit të të dhenave statistikore.</t>
  </si>
  <si>
    <t>Paisje kompjuterike te blera</t>
  </si>
  <si>
    <t>Blerja paisjeve kompjuterike për të paisur punonjësit me bazën e nevojshme  kopjuterike për proçesimin e të dhënave.</t>
  </si>
  <si>
    <t>Cope</t>
  </si>
  <si>
    <t>Paisje zyre te blera</t>
  </si>
  <si>
    <t>Blerja e paisje të zyrës për krijimin e kushteve të pershtatshme të punës.</t>
  </si>
  <si>
    <t>Planifikimi/Menaxhimi/Administrimi</t>
  </si>
  <si>
    <t>Të identifikojë, mbledhë dhe krijojë një arkiv të integruar të të gjitha dokumenteve të njohura të prodhuara nga/ose të lidhura me veprimtarinë e ish-Sigurimit;bëjë regjistrimet në dispozicion të publikut sipas dispozitave të parashikuara në ligj, duke përfshirë sigurimin e qasjes në informata në formë dixhitale;krijimi i Autoritetit si një burim arkivor qendror, për hulumtimin e aktiviteteve të ish-Sigurimit;të drejtojë informimin publik për të krijuar Autoritetin si një platformë, për angazhimin dhe kuptimin e së kaluarës komuniste në Shqipëri;mbështesë punën e dokumentimit të krimeve të komunizmit, duke përfshirë kontributin në bërjen e drejtësisë;mbështesë procesin e kërkimit, gjetjes, identifikimit dhe rimëkëmbjes së mbetjeve të atyre që u zhdukën ose u ekzekutuan gjatë komunizmit;mbështesë verifikimin e zyrtarëve që konkurrojnë për tu zgjedhur ose emëruar në administratën publike/shtetërore.</t>
  </si>
  <si>
    <t xml:space="preserve">Të sigurojë qasje të rregullt në informacionin në dosje në përputhje me dispozitat e ligjit; Të zhvillojë kërkime, kurse arsimore dhe kurrikula, dhe të angazhohet me publikun nëpërmjet komunikimit strategjik; Si dhe skanimin e individëve që kërkojnë të aplikojnë në detyra publike për lidhjet me ish-sigurimin të shtetit.Të konsolidojë në një arkiv të vetëm të gjitha dokumentet e prodhuara nga ish-Sigurimi i Shtetit; </t>
  </si>
  <si>
    <t>Mbledhja e te gjitha dokumentave ne nje arkiv te vetem</t>
  </si>
  <si>
    <t>Numri i rritur i kerkesave nga institucionet dhe individet</t>
  </si>
  <si>
    <t>Numri i aktiviteteve dhe botimeve nga AIDSSH</t>
  </si>
  <si>
    <t>Përmbushja në kohë dhe me cilesi e shërbimit ndaj kërkuesve( qytetar, institucione, media-studiues), nëpërmjet procedurave sa më fleksibël e në përputhje me ligjin dhe dixhitalizimi për të vënë në dispozicion të interesuarve informacione të ndryshme.</t>
  </si>
  <si>
    <t>Koha e trajtimit të një kërkese</t>
  </si>
  <si>
    <t>60 ditë</t>
  </si>
  <si>
    <t>45 ditë</t>
  </si>
  <si>
    <t>35 ditë</t>
  </si>
  <si>
    <t>30 ditë</t>
  </si>
  <si>
    <t>Numri i ankesave</t>
  </si>
  <si>
    <t>Kërkesa  të trajtuara në vit</t>
  </si>
  <si>
    <t>Pranimi, identifikimi, deklasifikimi, përpunimi, dekodifikimi i kërkesës dhe përgjigja ndaj kërkueseve</t>
  </si>
  <si>
    <t>Copë</t>
  </si>
  <si>
    <t>Aktivitete  studimore- kërkimore-shkencore</t>
  </si>
  <si>
    <t>Rishqyrtimin historik të veprimtarisë së ish-Sigurimit të Shtetit apo të edukimit qytetar nëpërmjet garantimit të mundësisë për shqyrtimin e dokumentave .</t>
  </si>
  <si>
    <t xml:space="preserve"> Numër aktivitetesh</t>
  </si>
  <si>
    <t>Krijimi i arkivës dixhitale të AIDSSH</t>
  </si>
  <si>
    <t>Ruajtje,  pershkrim, skanim, indeksim i dokumenteve te ish-Sigurimit te Shtetit.</t>
  </si>
  <si>
    <t>M950001</t>
  </si>
  <si>
    <t>Rikonstruksion i godinës</t>
  </si>
  <si>
    <t xml:space="preserve">Zhvillimi dhe përshtatja e hapësirave të godinës ekzistuese,që përfshin zyrat e informacionit, ambjentet e shërbimit për publikun , zyrat e administratës si dhe arkivën fizike të Autoritetit. </t>
  </si>
  <si>
    <t>Metër katror</t>
  </si>
  <si>
    <t>Qëllimi kryesor i këtij programi është  të nxisë përputhshmërinë e sektorit publik dhe privat me mbrojtjen e të dhënave personale dhe të drejtën e informimit, duke ofruar  ekspertizën për ligjbërësit kombëtarë me qëllim adoptimin e standardeve të mbrojtjes së të dhënave dhe privatësisë si dhe përshtatjen e tyre me zhvillimet e shpejta teknologjike, realizimi i  mbikqyrjeve/  inspektimeve për zbatimin e detyrimeve ligjore,  vendosjen e sanksioneve  administrative në rastet  flagrante të shkeljes së detyrimeve,  monitorimin e  procesit e funksionimit të Programeve të Transparencës së autoriteteve publike, në përputhje me dispozitat ligjore. Komisioneri shqyrton ankesat në lidhje me të drejtën për akses në informacionin publik apo cënimin e privatesisë,     në bazë të të cilave Komisioneri ushtron vendimarrjen e tij. Menaxhimi me efektivitet dhe korrektësi i fondeve buxhetore të KDIMDP--së.</t>
  </si>
  <si>
    <t xml:space="preserve">Përpunimi i ligjshëm i të dhënave personale,  duke respektuar dhe garantuar të drejtat dhe liritë themelore të njeriut të drejtën e ruajtjes së jetës private, nëpërmjet  përcaktimin e rregullave për mbrojtjen dhe përpunimin e ligjshëm të të dhënave personale sipas  standardeve evropiane ne te dyja fushat.  Garantimi i aksesit ne informacioni për publikun për ushtrimin e të drejtave  si dhe formimin e pikëpamjeve të publikut për gjendjen e shtetit dhe të shoqërisë, duke nxitur integritetin, transparencën dhe përgjegjshmërinë e autoriteteve publike. nëpërmjet realizimit të proçesit të mbikëqyrjes dhe mbrojtjes së të drejtave të shtetasve. </t>
  </si>
  <si>
    <t xml:space="preserve">Rritja e nivelit të zbatimit të Akteve të Komisionerit ( vendime, rekomandime , urdhra ) </t>
  </si>
  <si>
    <t>Trend rrites</t>
  </si>
  <si>
    <t xml:space="preserve">Rritja e përgjegjshmërisë së kontrolluesve publikë e privatë ( nr Konrtrollues të regjistruar në regjistrin Kombëtar) </t>
  </si>
  <si>
    <t>5364…</t>
  </si>
  <si>
    <t>Rritja e nivelit të transparences nga AP ( nr e AP me program/nr total )</t>
  </si>
  <si>
    <t xml:space="preserve">Përmirësimi i zbatimit të ligjit për mbrojtjen e të dhënave personale,  reduktimi i cënimit të privatësisë nëpërmjet rritjes së përgjegjshmërisë së kontrolluesve publikë e private në zbatimin e rregullave konkrete të përpunimit, ne perputhje me standartet  evropiane  snë këtë fushë. </t>
  </si>
  <si>
    <t xml:space="preserve">Rritja e zbatimit  të ligjit për qasjen në informacion, transparencë dhe llogaridhënie, nëpërmjet rritjes së përgjegjshmërisë së Autoriteteve publike </t>
  </si>
  <si>
    <t xml:space="preserve">Rritja e aksesit në informacion për qytetarët ( nr I kerkesave të permbushura/nr. total I kërkesave </t>
  </si>
  <si>
    <t xml:space="preserve">Mbikqyrje / Inspektime </t>
  </si>
  <si>
    <t xml:space="preserve">Minimizimi i rrezikut të cënimit të privatësisë dhe mbrojtjes së të dhënave personale; Ndërgjegjësimi dhe disiplinimi i kontrolluesve; Krijimi i praktikës së mirë për kontrolluesit.Mbikëqyrje/Inspektime   te kryera </t>
  </si>
  <si>
    <t>Në llogaritjen e tavanit: 3% inflacioni për 3 vite dhe rritja e sasisë së numrit të mbikëqyrjes 3.5%</t>
  </si>
  <si>
    <t>Ankesa te trajtuara</t>
  </si>
  <si>
    <t xml:space="preserve">Trajtim brenda afateve  i  ankesave sipas fushës së përgjegjësisë ( mbrojtjes së të dhënave personale apo komptencave shtesë ( ligjit nr. 19/2016 “Për masat shtesë të sigurisë publike” si dhe ligjit “Për sinjalizuesit”   ( ( kthim pergjigje dhe vendimarrje) </t>
  </si>
  <si>
    <t>Numer ankesash</t>
  </si>
  <si>
    <t>Shënim: Shpjegoni supozimet dhe llogaritjet për Produktin 2  (Metoda 2)</t>
  </si>
  <si>
    <t xml:space="preserve">M89001+M89002 ( Blerje pajisje zytre dhe kompjuterike ) </t>
  </si>
  <si>
    <t xml:space="preserve">Autoritete Publike me transparencë të plotë </t>
  </si>
  <si>
    <t xml:space="preserve">Sigurimi i Transparences  së veprimtarisë së Autoriteteve Publike, nëpërmjet realizimit të proceseve të monitorimit të zbatimit të ligjit , për të drejtën e informimit , trajtimi i ankesave dhe realizimi i inspektimeve  deri në hartimin  dhe  marrjen e vendimit përfundimtar  nga komisioneri. </t>
  </si>
  <si>
    <t xml:space="preserve">Ankesa te trajtuara </t>
  </si>
  <si>
    <t>Trajtim I  ankesave brenda afateve si per zbatimin e Ligjit mbi te drejten e informimit dhe ate te njoftimit dhe konsultimit publik( kthim pergjigje/inspektime/ vendime  kryesisht ne baze te ankesave</t>
  </si>
  <si>
    <t>Planifikimi, Menaxhimi dhe Administrim</t>
  </si>
  <si>
    <t>Programi mundëson projektimin dhe planifikimin efiçent dhe efikas të shërbimeve që do të kryhen në Kuvendin e Shqipërisë me një impakt të lartë në veprimtarinë parlamentare, në përmbushje të funksioneve kushtetuese të Institucionit. Për të administruar me efikasistet resurset teknologjike, financiare dhe njerëzore, programi përcakton objektiva të qartë, të pranueshëm, realistë dhe të matshëm në kohë. Përmbushja e tyre garanton maksimizimin e rezultateve, një performancë në rritje, transparencë dhe përgjegjshmëri të lartë në përdorimin e fondeve buxhetore.</t>
  </si>
  <si>
    <t>Garantimi i standarteve bashkëkohore dhe shërbimeve cilësore në mbështetje të veprimtarisë parlamentare në Kuvendin e Shqipërisë. Zhvillimi dhe organizimi i kapaciteteve të nevojshme financiare, teknologjike dhe njerëzore për të siguruar mbarëvajtjen e aktiviteteve parlamentare në kohë, me cilësi dhe në shërbim të interesit publik.</t>
  </si>
  <si>
    <t>Sisteme elektronike funksionale</t>
  </si>
  <si>
    <t>Ambiente të përshtatshme pune</t>
  </si>
  <si>
    <t>Staf profesional dhe i trajnuar</t>
  </si>
  <si>
    <t>Të rritet niveli i transparencës, objektivitetit të informimit dhe aksesi i publikut në çështjet parlamentare</t>
  </si>
  <si>
    <t>Materiale informuese</t>
  </si>
  <si>
    <t>Analiza kërkimore në çështje parlamentare</t>
  </si>
  <si>
    <t>Diskutime në seanca dhe mbledhje komisione parlamentare të transkriptuara në mënyrë cilësore</t>
  </si>
  <si>
    <t>Informimi publik mbi veprimtarinë parlamentare</t>
  </si>
  <si>
    <t>Shërbimi garanton informimin në kohë të deputeteve të Kuvendit dhe strukturave të tjera të institucionit mbi aktualitetin politik, shoqëror, ekonomik, social në vend dhe jashtë tij përmes medias së shkruar, si edhe një panoramë e pasqyrimit të veprimtarive te strukturave të Kuvendit të Shqiperisë në këtë media, e cila është pjesë e arkivit elektronik të Kuvendit. Gjithashtu, në kuadër të festave zyrtare, datave historike, kombëtare dhe nderkombëtare, Kuvendi është i pranishëm përmes organizimit të veprimtarive social kulturore të cilat përcaktohen në kalendarin e festave zyratre apo në kuadër të bashkevëprimit me organizata të tjera ndërkombetare me këtë qëllim.</t>
  </si>
  <si>
    <t xml:space="preserve">Numër aktivitetesh </t>
  </si>
  <si>
    <t xml:space="preserve">Bazë të dhënash e pasuruar </t>
  </si>
  <si>
    <t>Pasurimi i fondit te librit në gjuhën shqipe dhe përmes blerjes së librave në gjuhë të huaj. Pasurimi i bazës me të dhëna Pro Cite, Juristi, ECPRD , si dhe zhvillimi i proceseve kërkimore në fushën legjislative dhe më gjerë mbi bazën e të dhënave ekzistuese dhe të tjerave në vijim. Hartimi i materialeve kërkimore mbi bazën e kërkesave të detajuara dhe të specifikuara nga deputetët e Kuvendit të Shqipërisë, por edhe proaktive bazuar në kalendarin dhe programin e punës së Kuvendit.</t>
  </si>
  <si>
    <t xml:space="preserve">Numër shërbimesh </t>
  </si>
  <si>
    <t>Diskutime në seanca plenare dhe mbledhje të komisioneve parlamentare të redaktuara dhe transkriptuara</t>
  </si>
  <si>
    <t>Materiale të seancave plenare dhe komisioneve parlamentare  të zbardhura, korrektuara, redaktuarar me një standart të lartë profesional dhe të përpiktë.</t>
  </si>
  <si>
    <t xml:space="preserve">Shpenzimet Kapitale </t>
  </si>
  <si>
    <t>M020043      M020054       M020048</t>
  </si>
  <si>
    <t>Shërbimi garanton informimin në kohë të deputeteve të Kuvendit dhe strukturave të tjera të institucionit mbi aktualitetin politik, shoqëror, ekonomik, social në vend dhe jashtë tij përmes medias së shkruar, si edhe një panoramë e pasqyrimit të veprimtarive te strukturave të Kuvendit të Shqiperisë në këtë media, e cila është pjesë e arkivit elektronik të Kuvendit. Gjithashtu, në kuader të festave zyrtare, datave historike, kombëtare dhe nderkombëtare, Kuvendi është i pranishëm përmes organizimit të veprimtarive social kulturore të cilat përcaktohen në kalendarin e festave zyratre apo në kuadër të bashkeveprimit me organizata të tjera ndërkombëtare me këtë qëllim.</t>
  </si>
  <si>
    <t>Numër projekt investimesh</t>
  </si>
  <si>
    <t>Blerje Libra    ( M020029)</t>
  </si>
  <si>
    <t xml:space="preserve">Numër projektesh </t>
  </si>
  <si>
    <t>Të sigurohet arkitekturë optimale dhe bashkëkohore e teknologjisë së Informacionit</t>
  </si>
  <si>
    <t>Numër pajisjeve dhe sistemeve elekronike për tu përditësuar</t>
  </si>
  <si>
    <t>Numër pajisjeve dhe sistemeve elekronike të reja</t>
  </si>
  <si>
    <t>TI e mirëmbajtur, e zhvilluar dhe përditësuar</t>
  </si>
  <si>
    <t xml:space="preserve">Shërbim i TIK i avancuar </t>
  </si>
  <si>
    <t>Numër projekti</t>
  </si>
  <si>
    <t>Të sigurohet infrastrukturë dhe kushte optimale pune për veprimtarinë parlamentare</t>
  </si>
  <si>
    <t>Treguesit e Performancës për Objektivin 3**</t>
  </si>
  <si>
    <t>Transport i garantuar dhe i sigurtë për pritje përcjellje</t>
  </si>
  <si>
    <t>Kushte optimale pune</t>
  </si>
  <si>
    <t>Kuvendi i Shqipërisë ushtron veprimtarinë e tij në ambiente relativisht të gjera, në disa ndërtesa dhe qindra zyra pune, salla pritje, mbledhje për konferenca,  salla për media, salla e seancave plenare, salla të përshtatme për sisteme audio video për mbledhjet e komisioneve parlamentare, hapësira koridore, tualete, magazina, park autovetura etj.</t>
  </si>
  <si>
    <t>Transport i garantuar e cilësor</t>
  </si>
  <si>
    <t>Shërbimi i transportit në Kuvendin e Shqipërisë përfshin një flotë autoveturash të amortizuar për të cilat është hartuar një strategji për rinovim. Ky shërbim siguron transport të garantuar për Kryesinë e Kuvendit, për delegacione të huaja, aktivitetet e Kreut të Kuvendit etj.</t>
  </si>
  <si>
    <t>Numër projekt investime</t>
  </si>
  <si>
    <t>Numër autovetura</t>
  </si>
  <si>
    <t>Të sigurohen kapacitete njerëzore profesionale në përgjigje të sfidave të reja</t>
  </si>
  <si>
    <t>Treguesit e Performancës për Objektivin 4**</t>
  </si>
  <si>
    <t>Burime njerëzore profesionale e ambicioze</t>
  </si>
  <si>
    <t xml:space="preserve"> Burimeve njerëzore të mirëmenaxhuara dhe efektive</t>
  </si>
  <si>
    <t xml:space="preserve">Përshtatja e strukturës organizative me misionin dhe qëllimin e Institucionit, ndjekja e procesit të vlerësimit të performancës që përcakton në mënyrë të detajuar hapat që ndiqen për vlerësimin periodik të punës së çdo punonjësi. Analiza e këtij vlerësimi për të planifikuar nevojat për trajnim. </t>
  </si>
  <si>
    <r>
      <t xml:space="preserve">Detajimi i Kostos Totale të </t>
    </r>
    <r>
      <rPr>
        <b/>
        <sz val="11"/>
        <color rgb="FFFF0000"/>
        <rFont val="Times New Roman"/>
        <family val="1"/>
        <charset val="238"/>
      </rPr>
      <t xml:space="preserve">Produktit 1 </t>
    </r>
    <r>
      <rPr>
        <b/>
        <sz val="11"/>
        <color theme="1"/>
        <rFont val="Times New Roman"/>
        <family val="1"/>
        <charset val="238"/>
      </rPr>
      <t>sipas Artikujve Ekonomikë</t>
    </r>
  </si>
  <si>
    <t xml:space="preserve">Numri i takimeve dhe aktiviteteve </t>
  </si>
  <si>
    <t>Funksionimi i zyrave zgjedhore synon afrimin e deputetit me zgjedhësit, duke ndikuar në njohjen e shqetësimeve dhe problemeve të tyre, për ti adresuar ato në sektorët përkatës.</t>
  </si>
  <si>
    <t>Takime dhe aktivitete të deputetëve me zgjedhësit</t>
  </si>
  <si>
    <t>Produktet për Objektivin 5</t>
  </si>
  <si>
    <t xml:space="preserve">Shpeshtësia e takimeve të deputetëve me zgjedhësit </t>
  </si>
  <si>
    <t>Të garantohet qëndrimin e deputetëve  sa më pranë zgjedhësve duke mundësuar  hapjen e zyrave në të gjithë zonat zgjedhore.</t>
  </si>
  <si>
    <t xml:space="preserve">Tirazh </t>
  </si>
  <si>
    <t>Produkti konsiston në përgatitjen e materialeve për botim dhe realizimin e botimit me të tretë të Revistes së Kuvendit,  fjalimeve të personaliteteve, kolanës së "Punimeve Parlamentare në vite" dhe të tjera publikime</t>
  </si>
  <si>
    <t>Botime parlamentare</t>
  </si>
  <si>
    <t>Tirazhi i botimeve të Revistës së Kuvendit dhe kolanës së Punimeve Parlamentare</t>
  </si>
  <si>
    <t>Të realizojë botime parlamentare që sigurojne transparencën e veprimtarisë parlamentare ndër vite.</t>
  </si>
  <si>
    <t xml:space="preserve">Veprimtari e intensifikuar në përputhje me direktivat europiane </t>
  </si>
  <si>
    <t>Opininone ligjore/relacione për tu paraqitur në KIe</t>
  </si>
  <si>
    <t>Monitorimi i institucioneve të pavarura</t>
  </si>
  <si>
    <t>Akte ligjore të përafruara me legjislacionin e BE-së</t>
  </si>
  <si>
    <t xml:space="preserve">Të sigurohet përqindje më e lartë e pranueshmërisë nga KiE të opinioneve ligjore dhe rekomandimeve për projektligjet që i propozohen Kuvendit. </t>
  </si>
  <si>
    <r>
      <t xml:space="preserve">Detajimi i Kostos Totale të </t>
    </r>
    <r>
      <rPr>
        <b/>
        <sz val="11"/>
        <color rgb="FFFF0000"/>
        <rFont val="Times New Roman"/>
        <family val="1"/>
        <charset val="238"/>
      </rPr>
      <t>Produktit X</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</si>
  <si>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Produktit 1</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</si>
  <si>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 xml:space="preserve">Produktit 2 </t>
    </r>
    <r>
      <rPr>
        <b/>
        <sz val="11"/>
        <color theme="1"/>
        <rFont val="Times New Roman"/>
        <family val="1"/>
        <charset val="238"/>
      </rPr>
      <t>sipas Artikujve Ekonomikë</t>
    </r>
  </si>
  <si>
    <t xml:space="preserve">vizita pune dhe zyrtare </t>
  </si>
  <si>
    <t xml:space="preserve"> Ky produkt konsiston në pritjet dhe përcjelljet e delegacioneve parlamentare në Shqipëri, ceremoniali zyrtar, përkthime si dhe vizita në parlamentet e vendeve të tjera.</t>
  </si>
  <si>
    <t>Marrëdhenie parlamentare dypalëshe</t>
  </si>
  <si>
    <t>Numër konferencash</t>
  </si>
  <si>
    <t>Delegacionet e përhershme parlamentare shqiptare marrin pjesë në sesionet e asambleve parlamentare, në mbledhjet e komisioneve, etj të NATO-s, OSBE, PABSEC, IPU, PAM, SEECP, CEI, KiE etj</t>
  </si>
  <si>
    <t>Marrëdhënie ndërkombëtare shumëpalëshe</t>
  </si>
  <si>
    <t>Numri i delegacioneve parlamentare në Shqipëri</t>
  </si>
  <si>
    <t>Numri i delegacioneve parlamentare jashtë vendit</t>
  </si>
  <si>
    <t>Numri i konferencave brenda dhe jashtë vendit</t>
  </si>
  <si>
    <t>Të synohet rritja  dhe intensifikimi  i marrëdhënieve  ndërparlamentare me vendet e BE-së, të rajonit dhe vendeve me  interesa strategjike per Shqipërinë.</t>
  </si>
  <si>
    <r>
      <t>Shënim: Shpjegoni supozimet dhe llogaritjet për Produktin 1 (Metoda 2)</t>
    </r>
    <r>
      <rPr>
        <b/>
        <sz val="11"/>
        <color rgb="FFFF0000"/>
        <rFont val="Times New Roman"/>
        <family val="1"/>
        <charset val="238"/>
      </rPr>
      <t>***</t>
    </r>
  </si>
  <si>
    <r>
      <t>Ndryshimi në % i Transfertave për familjet dhe individët si pasojë e ndryshimit të sasisë së produktit</t>
    </r>
    <r>
      <rPr>
        <b/>
        <i/>
        <sz val="11"/>
        <color rgb="FFFF0000"/>
        <rFont val="Times New Roman"/>
        <family val="1"/>
        <charset val="238"/>
      </rPr>
      <t>**</t>
    </r>
  </si>
  <si>
    <r>
      <t>Ndryshimi në % i Transfertave të jashtme si pasojë e ndryshimit të sasisë së produktit</t>
    </r>
    <r>
      <rPr>
        <b/>
        <i/>
        <sz val="11"/>
        <color rgb="FFFF0000"/>
        <rFont val="Times New Roman"/>
        <family val="1"/>
        <charset val="238"/>
      </rPr>
      <t>**</t>
    </r>
  </si>
  <si>
    <r>
      <t>Ndryshimi në % i Transfertave të brendshme si pasojë e ndryshimit të sasisë së produktit</t>
    </r>
    <r>
      <rPr>
        <b/>
        <i/>
        <sz val="11"/>
        <color rgb="FFFF0000"/>
        <rFont val="Times New Roman"/>
        <family val="1"/>
        <charset val="238"/>
      </rPr>
      <t>**</t>
    </r>
  </si>
  <si>
    <r>
      <t>Ndryshimi në % i Subvencioneve si pasojë e ndryshimit të sasisë së produktit</t>
    </r>
    <r>
      <rPr>
        <b/>
        <i/>
        <sz val="11"/>
        <color rgb="FFFF0000"/>
        <rFont val="Times New Roman"/>
        <family val="1"/>
        <charset val="238"/>
      </rPr>
      <t>**</t>
    </r>
  </si>
  <si>
    <r>
      <t>Ndryshimi në % i Mallrave dhe Shërbimeve si pasojë e ndryshimit të sasisë së produktit</t>
    </r>
    <r>
      <rPr>
        <b/>
        <i/>
        <sz val="11"/>
        <color rgb="FFFF0000"/>
        <rFont val="Times New Roman"/>
        <family val="1"/>
        <charset val="238"/>
      </rPr>
      <t>**</t>
    </r>
  </si>
  <si>
    <r>
      <t>Ndryshimi në % i Sigurimeve Shoqërore dhe Shendetësore si pasojë e ndryshimit të sasisë së produktit</t>
    </r>
    <r>
      <rPr>
        <b/>
        <i/>
        <sz val="11"/>
        <color rgb="FFFF0000"/>
        <rFont val="Times New Roman"/>
        <family val="1"/>
        <charset val="238"/>
      </rPr>
      <t>**</t>
    </r>
  </si>
  <si>
    <r>
      <t>Ndryshimi në % i Pagave si pasojë e ndryshimit të sasisë së produktit</t>
    </r>
    <r>
      <rPr>
        <b/>
        <i/>
        <sz val="11"/>
        <color rgb="FFFF0000"/>
        <rFont val="Times New Roman"/>
        <family val="1"/>
        <charset val="238"/>
      </rPr>
      <t>**</t>
    </r>
  </si>
  <si>
    <t>Numër aktesh</t>
  </si>
  <si>
    <t>Akte të miratuara gjatë veprimtarisë parlamentare në Kuvend</t>
  </si>
  <si>
    <t xml:space="preserve">Akte të miratuara nga Kuvendi   </t>
  </si>
  <si>
    <t>Numër mbledhje komisione</t>
  </si>
  <si>
    <t>Numër mbledhje seanca plenare</t>
  </si>
  <si>
    <t xml:space="preserve">Të rritet niveli i ekspertizës ligjore, transparenca dhe bashkëpunimi me shoqërinë civile dhe grupet e interesit në mbledhjen e komisioneve të Kuvendit dhe në të gjithë procesin legjislativ. </t>
  </si>
  <si>
    <t xml:space="preserve">Zyra zgjedhore </t>
  </si>
  <si>
    <t>Opinone dhe relacione për projektligje të përafruara</t>
  </si>
  <si>
    <t xml:space="preserve">Tirazh botimesh </t>
  </si>
  <si>
    <t>Numër aktivitetesh të Shërbimit të Marrdhënieve me Jashtë</t>
  </si>
  <si>
    <t>Numër aktesh që miratohen</t>
  </si>
  <si>
    <t>Politika e Kuvendit synon rritjen e cilësisë së ligjeve dhe vendimeve, të perafruara  me legjislacionin e BE-së, rritjen e mëtejshme të përformancës institucionale në kontrollin parlamentar, aktivizimin dhe forcimin e marrëdhënieve nderparlamentare me vendet e rajonit, vendet e BE-së, Parlamentin Europian, vendet anëtare të NATO-s, me vendet e Gjirit e më gjerë, në shërbim të prioriteteve, etj.</t>
  </si>
  <si>
    <t>Në përmbushje të detyrimeve kushtetuese, Kuvendi i Shqipërisë ushtron funksionin ligjvënës, të kontrollit mbi zbatueshmërinë e ligjeve, të zgjedhjes së qeverisë dhe miratimit të programit politik të saj, si dhe të emërimit ose dhënies së pëlqimit për anëtarët e organeve kushtetuese apo të krijuara me ligj, monitorimit dhe zbatimit të kuadrit ligjor dhe mbikqyrjen e zbatimit të pllitikave për çeshtjet e integrimit europian. Deputetët apo grupet parlamentare, të shumicës qeverisëse dhe të opozitës zhvillojnë debatin politik në Kuvend si përfaqësues të popullit. Veprimtaria parlamentare ushtrohet në komisionet e Kuvendit dhe në seancë plenare. Përmes marrëdhënieve intensive ndërparlamentare bilaterale dhe multiraterale, Kuvendi zhvillon një diplomaci parlamentare me synimin e forcimit të marredhenieve  me vendet e BE, rajonit dhe të gjitha ato vende me interesa strategjike. Monitorimi dhe zbatimi i kuadrit ligjor dhe mbikqyrja e politikave per ceshtjet e integrimit europian janë prioritete të punës në Kuvend.</t>
  </si>
  <si>
    <t>1120</t>
  </si>
  <si>
    <t>Veprimtaria legjislative, diplomacia dhe kontrolli parlamentar</t>
  </si>
  <si>
    <t>në /000 lek</t>
  </si>
  <si>
    <t>04120</t>
  </si>
  <si>
    <t>Mbikëqyrja e tregut për vendosjen e konkurrencës së lirë dhe efektive në treg nëpërmjet ndalimit të abuzimit me pozitën dominuese, evidentimit të marrëveshjeve të ndaluara si dhe kontrollit të përqëndrimeve dhe advokacia e konkurrencës.</t>
  </si>
  <si>
    <t>Mbikëqyrja dhe hetimi i tregjeve prodhuese dhe jo-prodhuese (abuzimi me pozitën dominuese dhe marrëveshjet e ndaluara)</t>
  </si>
  <si>
    <t>Niveli I zbatueshmërisë vendimeve të konkurrencës</t>
  </si>
  <si>
    <t xml:space="preserve"> Marrëveshje të ndaluara dhe abuzimi me pozitën dominuese</t>
  </si>
  <si>
    <t>Realizimi I procedurave investigative në tregjet përkatëse deri në hartimin e raportit përfundimtar dhe marrjes së vendimit nga komisioni I konkurrencës</t>
  </si>
  <si>
    <t>Numër Vendime/Raporte</t>
  </si>
  <si>
    <r>
      <t xml:space="preserve">Detajimi i Kostos Totale të </t>
    </r>
    <r>
      <rPr>
        <b/>
        <sz val="12"/>
        <color rgb="FFFF0000"/>
        <rFont val="Garamond"/>
        <family val="1"/>
      </rPr>
      <t>Produktit 1</t>
    </r>
    <r>
      <rPr>
        <b/>
        <sz val="12"/>
        <color theme="1"/>
        <rFont val="Garamond"/>
        <family val="1"/>
      </rPr>
      <t xml:space="preserve"> sipas Artikujve Ekonomikë</t>
    </r>
  </si>
  <si>
    <t>M770030</t>
  </si>
  <si>
    <t>Pajisje informatike</t>
  </si>
  <si>
    <t>Blerje pajisje informatike për përmirësimin e cilësisë së punës</t>
  </si>
  <si>
    <t>M770032</t>
  </si>
  <si>
    <t>Punime te brendshme rifinitura</t>
  </si>
  <si>
    <t>Riparime të pjesshme dhe punime të brendshme të zyrave të godinës</t>
  </si>
  <si>
    <t>Monitorimi dhe studimi i tregjeve dhe Kontrolli i përqëndrimeve për sigurimin e nje ekonomie tregu me efektive</t>
  </si>
  <si>
    <t>Numri i Vendimeve te Autorizimeve autorizimit te perqendrimeve</t>
  </si>
  <si>
    <t>Tregje ne monitorim</t>
  </si>
  <si>
    <t>Monitorimi, studimi i tregjeve dhe kontrolli i përqendrimeve</t>
  </si>
  <si>
    <t>Realizimi i raporteve për studim dhe monitorim tregjesh dhe raporteve për njoftim dhe autorizim përqendrimesh</t>
  </si>
  <si>
    <t>Numër Vendime/raporte</t>
  </si>
  <si>
    <r>
      <t xml:space="preserve">Detajimi i Kostos Totale të </t>
    </r>
    <r>
      <rPr>
        <b/>
        <sz val="12"/>
        <color rgb="FFFF0000"/>
        <rFont val="Garamond"/>
        <family val="1"/>
      </rPr>
      <t xml:space="preserve">Produktit 1 </t>
    </r>
    <r>
      <rPr>
        <b/>
        <sz val="12"/>
        <color theme="1"/>
        <rFont val="Garamond"/>
        <family val="1"/>
      </rPr>
      <t>sipas Artikujve Ekonomikë</t>
    </r>
  </si>
  <si>
    <t>M770002</t>
  </si>
  <si>
    <t>Pajisje zyrash</t>
  </si>
  <si>
    <t>Blerje pajisje zyrash tavoline etj për përmirësimin e cilësisë së punës</t>
  </si>
  <si>
    <t>Advokacia e Konkurrencës: Vlerësimi I akteve ligjore,  Përafrimi i legjislacionit sipas standardeve Europiane, Bashkëpunimi me entet rregullatore dhe organizmat ndërkombëtare.</t>
  </si>
  <si>
    <t>Akte te vleresuara dhe te perafruara</t>
  </si>
  <si>
    <t>Semirare dhe workshope te realizuara brenda dhe jashte vendit</t>
  </si>
  <si>
    <t>Advokacia e konkurrencës  dhe Integrimi Europian</t>
  </si>
  <si>
    <t>Numri i akteve te përafruara sipas PKIE dhe akteve të vlerësuara sipas neneve 69, 70 të ligjit 9121/2003</t>
  </si>
  <si>
    <t>Konferenca, seminare, trajnime, tryeza te rrumbullakëta nëpërmjet bashkëpunimeve rajonale dhe ndërkombëtare</t>
  </si>
  <si>
    <t xml:space="preserve">Realizime trajnimesh, seminaresh konferenca për forcim kapacitetesh administrative të vendeve homologe të BE në fushën e konkurrencës </t>
  </si>
  <si>
    <t xml:space="preserve"> Unifikimi i procedurave dhe menaxhimi i dokumentacionit arkivor ne RSH, per te siguruar ruajtjen, permiresimin dhe dixhitalizimin e tij.</t>
  </si>
  <si>
    <t>Ruajtja e vlerave historike kombetare permes aplikimit te standarteve bashkekohore per arkivimin e dokumentave</t>
  </si>
  <si>
    <t xml:space="preserve"> </t>
  </si>
  <si>
    <t>Perpunimi i fondit arkivor dhe dixhitalizimi per te vene ne dispozicion te interesuarve informacione te ndryshme.</t>
  </si>
  <si>
    <t>Numri  rritur i dokumentave te skanuara ne vit</t>
  </si>
  <si>
    <t>Numri i rritur dokumentave qe do te pershkruhen ne vit</t>
  </si>
  <si>
    <t>Dokumenta te trajtuara ne vit</t>
  </si>
  <si>
    <t>Ruajtje, restaurim, pershkrim, skanim dhe sherbim i fondeve arkivore.</t>
  </si>
  <si>
    <t>meter linear</t>
  </si>
  <si>
    <t>M200006</t>
  </si>
  <si>
    <t>Kompjutera te blera</t>
  </si>
  <si>
    <t>Blerje pajisjesh kompjuterike</t>
  </si>
  <si>
    <t>nr pajisjesh</t>
  </si>
  <si>
    <t>M200010</t>
  </si>
  <si>
    <t>Pergatitje dokumentacioni per hipoteke</t>
  </si>
  <si>
    <t>Numri i pronave per te cilat pergatitet dokumentacioni</t>
  </si>
  <si>
    <t>M200039</t>
  </si>
  <si>
    <t>Godine e re</t>
  </si>
  <si>
    <t>Ndertim godine e re ne Vendruajtjen Shkoze</t>
  </si>
  <si>
    <t>Nr godine</t>
  </si>
  <si>
    <t>Kosto totale e produktit  3</t>
  </si>
  <si>
    <t>M200040</t>
  </si>
  <si>
    <t>Godina te rikonstruktuara</t>
  </si>
  <si>
    <t>Rikonstruksion te godinave te DRASH-ve</t>
  </si>
  <si>
    <t>Nr. godine</t>
  </si>
  <si>
    <t>Kosto totale e produktit  4</t>
  </si>
  <si>
    <t>M200041</t>
  </si>
  <si>
    <t>Produkti 5</t>
  </si>
  <si>
    <t>Sistem Sigurie…..</t>
  </si>
  <si>
    <t>Vendosje kamerash</t>
  </si>
  <si>
    <t>Numer  sistemesh</t>
  </si>
  <si>
    <t>01520</t>
  </si>
  <si>
    <t>Projekte në kuadër të Protokollit AShSh – AShAShAK</t>
  </si>
  <si>
    <t>1. Projekte të reja në fushën e sizmologjisë, hidrologjisë, biodiversitetit (vazhdim)
2. Shkëmbime informacionesh në fusha të ndryshme të veprimtarive shkencore
3. Ekspedita të përbashkëta ndërdisiplinore
4. Shkëmbime reciproke të periodikëve dhe botimeve shkencore
5. Ligjërata të ndërsjella të akademikëve.</t>
  </si>
  <si>
    <t>Projekte, ekspedita, Ligjerata te ndersjellta te akademikeve</t>
  </si>
  <si>
    <t>Projekte në kuadër të marreveshjeve te bashkepunimit me Akademite e Shkencave dhe Arteve ne Kroaci, Mal te Zi dhe Maqedoni dhe arbereshet e Italise</t>
  </si>
  <si>
    <t>1. Projekte të reja në fusha te ndryshme
2. Shkëmbime informacionesh në fusha të ndryshme të veprimtarive shkencore
3. Ekspedita të përbashkëta ndërdisiplinore
4. Shkëmbime reciproke të periodikëve dhe botimeve shkencore
5. Ligjërata të ndërsjella të akademikëve.</t>
  </si>
  <si>
    <t>Projekte, ekspedita, Ligjerata te ndersjellta te akademikeve dhe botime ne fushat e strategjise rajonale per kerkim, zhvillim dhe inovacion</t>
  </si>
  <si>
    <t>M220071</t>
  </si>
  <si>
    <t>Blerje Pajisje Zyre</t>
  </si>
  <si>
    <t>M220078</t>
  </si>
  <si>
    <t>Blerje Pajisje Elektronike</t>
  </si>
  <si>
    <t>Propozon fusha të reja kërkimore e studimore, në përputhje me nevojat e zhvillimit të vendit</t>
  </si>
  <si>
    <t>Konferenca Shkencore Kombëtare dhe Ndërkombëtare</t>
  </si>
  <si>
    <t>• Analiza shkencore multidisiplinore me partnere kombetare dhe nderkombetare per vlerësimin e studimeve 
• Sensibilizimi i të gjithë vendimmarrësve politikë, të komunitetit mbarëshkencor, të shoqërisë civile e të sipërmarrësve privatë per problemet qe kerkojne zgjidhje
• Projekt-ide dhe propozime per hartimin e planeve të veprimit për zgjidhjen e problemeve qe kerkojne zgjidhje</t>
  </si>
  <si>
    <t>• Vlerësimi me interes të madh për zhvillimin e shkences ne vendin tonë.
• Rritja e interesit te te rinjve per edukimin ne shkence nepermjet ekspeditave ne terren, leksioneve</t>
  </si>
  <si>
    <t xml:space="preserve"> Konferenca Nderkombetare dhe pantnership ne organizma nderkombetare</t>
  </si>
  <si>
    <t>Ash, eshte anetare e nje sere organizmash nderkombetare prestigjoze si: ALLEA,IAP, TWAS, ETJ.Pjesemarrja ne to bene te detyrueshem pagimin e kuotizacionit te antaresimit dhe pjesemarrjen ne aktivitete te organizuara nga keto organizma. Njekohesisht Ash mbeshtet antaresimin e akademikeve ne organizmat nderkombetare.</t>
  </si>
  <si>
    <t>Partnership</t>
  </si>
  <si>
    <t>M220070</t>
  </si>
  <si>
    <t>Pasurim Fondi Biblioteke</t>
  </si>
  <si>
    <t>U ofron institucioneve të larta shtetërore këshillimin dhe ekspertizën e nevojshme në zgjidhjen e çështjeve të rëndësishme për zhvillimin e vendit</t>
  </si>
  <si>
    <t>Ngritja e Komisioneve me anetare te Akademise se Shkencave dhe specialistet me te kualifikuar ne fushat perkatese. Hartimi I nje broshure informative mbi problemet e trajtuara gjate Tryezes. Takime perkujtimore per figura te shquara dhe Promovime botimesh</t>
  </si>
  <si>
    <t xml:space="preserve">Tryeza të rrumbullakëta me grup ekspertësh për probleme te ndryshme shkencore </t>
  </si>
  <si>
    <t>Krijim baze i te dhenave, shkembim eksperience dhe transferim teknologjishe ne fusha respektive. Perkujtim I figurave te shquara  te ASHSH  dhe publikim veprash me karakter kombetar</t>
  </si>
  <si>
    <t>Tryeza të rrumbullakëta me grup ekspertësh për probleme te ndryshme shkencore Takime perkujtimore per figura te shquara dhe Promovime botimesh</t>
  </si>
  <si>
    <t>• Organizimi i Komisioneve me anëtarë të Akademisë së Shkencave dhe specialistët më të kualifikuar të fushave perkatese
• Realizimi i Tryezës së Rrumbullakët me anëtarët e Komisionit dhe specialistë të tjerë të fushës;</t>
  </si>
  <si>
    <t>Komisione Hartimi I broshurave informative Takime perkujtimore Promovime botimesh</t>
  </si>
  <si>
    <t xml:space="preserve"> Programi Edukimi ne shkence</t>
  </si>
  <si>
    <t>• Realizimi i Konferences me specialistët e fushës, 
• Organizimi i nje Tryeze te Rrumbullaket 
• Ekspedita ne terren</t>
  </si>
  <si>
    <t>Leksione, konferenca, ekspedita ne terren</t>
  </si>
  <si>
    <t>Boton organe periodike dhe vepra të tjera me nivel të lartë shkencor</t>
  </si>
  <si>
    <t xml:space="preserve">Publikim cilesor I dy revistave shkencore "Studia Albanica " "JNTS".Te botuara ne gjuhe te huaj ato perhapin eksperiencenn e kerkueseve me te mire shqipetare ne bote dhe evidentojne arritjet me te mire ne bashkepunim me kerkuesit e huaj . </t>
  </si>
  <si>
    <t>Publikime me karakter shkencor dhe hulumtues te akademikeve.</t>
  </si>
  <si>
    <t>Rritja e bashkepunimit ne fushen e botimeve me ASHAK dhe institucionet kerkimore dhe mesimore te Kosoves ne kuader te protokollit te bashkepunimit shkencor dhe artistik.</t>
  </si>
  <si>
    <t>Botime (revista dhe libra )</t>
  </si>
  <si>
    <t>1. Botime (revista dhe libra ) 1."Studia Albanica dhe AJNTS" jane dy revista shkencore ku kerkuesit botojne punimet e tyre me cilesore. Te botuara ne gjuhe te huaj ato perhapin eksperiencenn e kerkueseve me te mire shqipetare ne bote dhe evidentojne arritjet me te mire ne bashkepunim me kerkuesit e huaj . Revistat jane me grup editorial te huaj dhe shqipetare. revistat do te publikohen dhe on-line.2. Botimi i Raportit Vjetor te Akademise se Shkencave te Shqiperise per vitin 2014 ne gjuhen shqipe dhe angleze.3. Botim i veprave me te arrira dhe cilesore te akademikeve.4.Perditesimi i faqes se internetit te  ASHSh</t>
  </si>
  <si>
    <t>Botime dhe libra</t>
  </si>
  <si>
    <t>Organizon kongrese dhe konferenca shkencore dhe problemore në shkallë kombëtare e ndërkombëtare</t>
  </si>
  <si>
    <t>Këshilli Ndërakademik për gjuhën shqipe  ku do të diskutohen çështje të drejtshkrimit, saktësimit e plotësimit të normës drejtshkrimore.</t>
  </si>
  <si>
    <t>Projekte në kuadër të Protokollit AShSh – AShAShAK Projekte, ekspedita, Ligjerata te ndersjellta te akademikeve</t>
  </si>
  <si>
    <t xml:space="preserve">Konferenca Shkencore Kombëtare dhe Ndërkombëtare      • Analiza shkencore multidisiplinore me partnere kombetare dhe nderkombetare per vlerësimin e studimeve </t>
  </si>
  <si>
    <t xml:space="preserve">Konferenca Shkencore Kombëtare dhe Ndërkombëtare </t>
  </si>
  <si>
    <t xml:space="preserve"> Mbajtja e Konferences Shkencore Nderkombetare mbi problemet e mjedisit , biodiversitetit dhe hidrologjise etj.ne bashkëpunim me institucionet e tjera te kesaj fushe.  Ruajtja e fondit gjenetik në rrezik zhdukje dhe traditat etno-kulturore në përdorimin e biodiversitetit si pjesë e trashëgimisë kulturore;
</t>
  </si>
  <si>
    <t xml:space="preserve">Nr. Aktivitete shkencore; Botim i "Permbledhjeve te prezantimeve" dhe Rezoluta </t>
  </si>
  <si>
    <t xml:space="preserve">Këshilli Ndërakademik për gjuhën shqipe  </t>
  </si>
  <si>
    <t>Do të paraqiten në një buletin të veçantë rezultatet dhe vendimet përkatëse të Këshillit.</t>
  </si>
  <si>
    <t>Hartimi I nje buletini  per gjuhen Shqipe</t>
  </si>
  <si>
    <t>Objektivi 6 i Politikës së Programit</t>
  </si>
  <si>
    <t>Organizon konkurse dhe dhënie çmimesh shkencore</t>
  </si>
  <si>
    <t>Të mbështesë dhe promovojë studimet dhe hulumtimet origjinale shkencore, në përputhje me prioritetet thelbësore të kërkimit shkencor akademik dhe universitar, duke pasur parasysh zhvillimin social, ekonomik dhe kulturor të vendit.</t>
  </si>
  <si>
    <t>Për të inkurajuar konkurrencën dhe për të njohur cilësinë shkencore të arritjeve më të shquara në kërkimin shkencor, inovacionin e autorëve nga autorë shqiptarë / shqiptarë nga vende të tjera të botës, të cilat kanë vlera të shquara dhe origjinalitet, nivel të lartë kreativiteti, pavarësie, globale Rëndësinë dhe rëndësinë</t>
  </si>
  <si>
    <t>Të sigurohet përkrahja e kërkuesve të rinj më të suksesshëm, me kërkesa për cilësi shkencore dhe kërkime origjinale; Për të promovuar ndërveprimin dhe vazhdimësinë midis gjeneratave të studiuesve.
Të vlerësojë meritat shkencore të jetës së personaliteteve dhe karrierën</t>
  </si>
  <si>
    <t>Mbështet dhe promovojë studimet dhe hulumtimet origjinale shkencore.            
Njohjen e arritjeve më të shquara në kërkimin shkencor, inovacionin e autorëve nga autorë shqiptarë / shqiptarë nga vende të tjera të botës             
Siguron përkrahjen e kërkuesve të rinj më të suksesshëm,   
Të vlerësojë meritat shkencore të jetës së personaliteteve dhe karrierën</t>
  </si>
  <si>
    <t>çmimet shkencore vjetore, procedura e organizimit të garave shkencore</t>
  </si>
  <si>
    <t>M220076</t>
  </si>
  <si>
    <t>Rikontruksion dhe Lyerje Godine</t>
  </si>
  <si>
    <r>
      <t xml:space="preserve">Detajimi i Kostos Totale të </t>
    </r>
    <r>
      <rPr>
        <b/>
        <sz val="11"/>
        <color rgb="FFFF0000"/>
        <rFont val="Garamond"/>
        <family val="1"/>
      </rPr>
      <t>Produktit 1</t>
    </r>
    <r>
      <rPr>
        <b/>
        <sz val="11"/>
        <color theme="1"/>
        <rFont val="Garamond"/>
        <family val="1"/>
      </rPr>
      <t xml:space="preserve"> sipas Artikujve Ekonomikë</t>
    </r>
  </si>
  <si>
    <r>
      <t>Shënim: Shpjegoni supozimet dhe llogaritjet për Produktin 1 (Metoda 2)</t>
    </r>
    <r>
      <rPr>
        <b/>
        <sz val="11"/>
        <color rgb="FFFF0000"/>
        <rFont val="Garamond"/>
        <family val="1"/>
      </rPr>
      <t>***</t>
    </r>
  </si>
  <si>
    <r>
      <t xml:space="preserve">Detajimi i Kostos Totale të </t>
    </r>
    <r>
      <rPr>
        <b/>
        <sz val="11"/>
        <color rgb="FFFF0000"/>
        <rFont val="Garamond"/>
        <family val="1"/>
      </rPr>
      <t>Produktit 2</t>
    </r>
    <r>
      <rPr>
        <b/>
        <sz val="11"/>
        <color theme="1"/>
        <rFont val="Garamond"/>
        <family val="1"/>
      </rPr>
      <t xml:space="preserve"> sipas Artikujve Ekonomikë</t>
    </r>
  </si>
  <si>
    <r>
      <t xml:space="preserve">Detajimi i Kostos Totale të </t>
    </r>
    <r>
      <rPr>
        <b/>
        <sz val="11"/>
        <color rgb="FFFF0000"/>
        <rFont val="Garamond"/>
        <family val="1"/>
      </rPr>
      <t>Produktit 3</t>
    </r>
    <r>
      <rPr>
        <b/>
        <sz val="11"/>
        <color theme="1"/>
        <rFont val="Garamond"/>
        <family val="1"/>
      </rPr>
      <t xml:space="preserve"> sipas Artikujve Ekonomikë</t>
    </r>
  </si>
  <si>
    <r>
      <t xml:space="preserve">Detajimi i Kostos Totale të </t>
    </r>
    <r>
      <rPr>
        <b/>
        <sz val="11"/>
        <color rgb="FFFF0000"/>
        <rFont val="Garamond"/>
        <family val="1"/>
      </rPr>
      <t>Produktit 4</t>
    </r>
    <r>
      <rPr>
        <b/>
        <sz val="11"/>
        <color theme="1"/>
        <rFont val="Garamond"/>
        <family val="1"/>
      </rPr>
      <t xml:space="preserve"> sipas Artikujve Ekonomikë</t>
    </r>
  </si>
  <si>
    <r>
      <t xml:space="preserve">Detajimi i Kostos Totale të </t>
    </r>
    <r>
      <rPr>
        <b/>
        <sz val="11"/>
        <color rgb="FFFF0000"/>
        <rFont val="Garamond"/>
        <family val="1"/>
      </rPr>
      <t>Produktit 5</t>
    </r>
    <r>
      <rPr>
        <b/>
        <sz val="11"/>
        <color theme="1"/>
        <rFont val="Garamond"/>
        <family val="1"/>
      </rPr>
      <t xml:space="preserve"> sipas Artikujve Ekonomikë</t>
    </r>
  </si>
  <si>
    <r>
      <t xml:space="preserve">Shënim: </t>
    </r>
    <r>
      <rPr>
        <i/>
        <sz val="11"/>
        <color theme="1"/>
        <rFont val="Garamond"/>
        <family val="1"/>
      </rPr>
      <t>Shpjegoni supozimet dhe llogaritjet (Metoda 1)</t>
    </r>
  </si>
  <si>
    <r>
      <rPr>
        <b/>
        <sz val="11"/>
        <color rgb="FFFF0000"/>
        <rFont val="Garamond"/>
        <family val="1"/>
      </rPr>
      <t>Produkti X</t>
    </r>
    <r>
      <rPr>
        <sz val="11"/>
        <color theme="1"/>
        <rFont val="Garamond"/>
        <family val="1"/>
      </rPr>
      <t xml:space="preserve"> (shto produkte sipas rastit)</t>
    </r>
  </si>
  <si>
    <r>
      <t>Detajimi i Kostos Totale të</t>
    </r>
    <r>
      <rPr>
        <b/>
        <sz val="11"/>
        <color rgb="FFFF0000"/>
        <rFont val="Garamond"/>
        <family val="1"/>
      </rPr>
      <t xml:space="preserve"> Produktit X </t>
    </r>
    <r>
      <rPr>
        <b/>
        <sz val="11"/>
        <color theme="1"/>
        <rFont val="Garamond"/>
        <family val="1"/>
      </rPr>
      <t>sipas Artikujve Ekonomikë</t>
    </r>
  </si>
  <si>
    <r>
      <t xml:space="preserve">Detajimi i Kostos Totale të </t>
    </r>
    <r>
      <rPr>
        <b/>
        <sz val="11"/>
        <color rgb="FFFF0000"/>
        <rFont val="Garamond"/>
        <family val="1"/>
      </rPr>
      <t>Produktit X</t>
    </r>
    <r>
      <rPr>
        <b/>
        <sz val="11"/>
        <color theme="1"/>
        <rFont val="Garamond"/>
        <family val="1"/>
      </rPr>
      <t xml:space="preserve"> sipas Artikujve Ekonomikë</t>
    </r>
  </si>
  <si>
    <r>
      <t xml:space="preserve">Detajimi i Kostos Totale të </t>
    </r>
    <r>
      <rPr>
        <b/>
        <sz val="11"/>
        <color rgb="FFFF0000"/>
        <rFont val="Garamond"/>
        <family val="1"/>
      </rPr>
      <t xml:space="preserve">Produktit 1 </t>
    </r>
    <r>
      <rPr>
        <b/>
        <sz val="11"/>
        <color theme="1"/>
        <rFont val="Garamond"/>
        <family val="1"/>
      </rPr>
      <t>sipas Artikujve Ekonomikë</t>
    </r>
  </si>
  <si>
    <r>
      <t xml:space="preserve">Kujdes!! </t>
    </r>
    <r>
      <rPr>
        <i/>
        <sz val="11"/>
        <rFont val="Calibri"/>
        <family val="2"/>
        <scheme val="minor"/>
      </rPr>
      <t>Në format mund të shtohen rreshta për të reflektuar të gjitha produktet e programit. Formati ka formula, të cilat duhen përditësuar sipas llogjikës së paraqitur më sipër.</t>
    </r>
  </si>
  <si>
    <r>
      <t>Detajimi i Kostos Totale të</t>
    </r>
    <r>
      <rPr>
        <b/>
        <sz val="11"/>
        <color rgb="FFFF0000"/>
        <rFont val="Garamond"/>
        <family val="1"/>
      </rPr>
      <t xml:space="preserve"> Produktit 2 </t>
    </r>
    <r>
      <rPr>
        <b/>
        <sz val="11"/>
        <color theme="1"/>
        <rFont val="Garamond"/>
        <family val="1"/>
      </rPr>
      <t>sipas Artikujve Ekonomikë</t>
    </r>
  </si>
  <si>
    <r>
      <t xml:space="preserve">Detajimi i Kostos Totale të </t>
    </r>
    <r>
      <rPr>
        <b/>
        <sz val="11"/>
        <color rgb="FFFF0000"/>
        <rFont val="Garamond"/>
        <family val="1"/>
      </rPr>
      <t xml:space="preserve">Produktit 2 </t>
    </r>
    <r>
      <rPr>
        <b/>
        <sz val="11"/>
        <color theme="1"/>
        <rFont val="Garamond"/>
        <family val="1"/>
      </rPr>
      <t>sipas Artikujve Ekonomikë</t>
    </r>
  </si>
  <si>
    <r>
      <t>Shënim: Shpjegoni supozimet dhe llogaritjet për Produktin 2 (Metoda 2)</t>
    </r>
    <r>
      <rPr>
        <b/>
        <sz val="11"/>
        <color rgb="FFFF0000"/>
        <rFont val="Garamond"/>
        <family val="1"/>
      </rPr>
      <t>***</t>
    </r>
  </si>
  <si>
    <r>
      <t xml:space="preserve">Detajimi i Kostos Totale të </t>
    </r>
    <r>
      <rPr>
        <b/>
        <sz val="11"/>
        <color rgb="FFFF0000"/>
        <rFont val="Garamond"/>
        <family val="1"/>
      </rPr>
      <t xml:space="preserve">Produktit 3 </t>
    </r>
    <r>
      <rPr>
        <b/>
        <sz val="11"/>
        <color theme="1"/>
        <rFont val="Garamond"/>
        <family val="1"/>
      </rPr>
      <t>sipas Artikujve Ekonomikë</t>
    </r>
  </si>
  <si>
    <r>
      <t>Shënim: Shpjegoni supozimet dhe llogaritjet për Produktin 3 (Metoda 2)</t>
    </r>
    <r>
      <rPr>
        <b/>
        <sz val="11"/>
        <color rgb="FFFF0000"/>
        <rFont val="Garamond"/>
        <family val="1"/>
      </rPr>
      <t>***</t>
    </r>
  </si>
  <si>
    <r>
      <t xml:space="preserve">Detajimi i Kostos Totale të </t>
    </r>
    <r>
      <rPr>
        <b/>
        <sz val="11"/>
        <color rgb="FFFF0000"/>
        <rFont val="Garamond"/>
        <family val="1"/>
      </rPr>
      <t xml:space="preserve">Produktit 4 </t>
    </r>
    <r>
      <rPr>
        <b/>
        <sz val="11"/>
        <color theme="1"/>
        <rFont val="Garamond"/>
        <family val="1"/>
      </rPr>
      <t>sipas Artikujve Ekonomikë</t>
    </r>
  </si>
  <si>
    <r>
      <t>Shënim: Shpjegoni supozimet dhe llogaritjet për Produktin 4 (Metoda 2)</t>
    </r>
    <r>
      <rPr>
        <b/>
        <sz val="11"/>
        <color rgb="FFFF0000"/>
        <rFont val="Garamond"/>
        <family val="1"/>
      </rPr>
      <t>***</t>
    </r>
  </si>
  <si>
    <r>
      <t>Treguesit e Performancës për Objektivin 1**</t>
    </r>
    <r>
      <rPr>
        <sz val="11"/>
        <color rgb="FFFF0000"/>
        <rFont val="Garamond"/>
        <family val="1"/>
        <charset val="238"/>
      </rPr>
      <t>(te rishikuara)</t>
    </r>
  </si>
  <si>
    <r>
      <t xml:space="preserve">Detajimi i Kostos Totale të </t>
    </r>
    <r>
      <rPr>
        <b/>
        <sz val="11"/>
        <color rgb="FFFF0000"/>
        <rFont val="Garamond"/>
        <family val="1"/>
      </rPr>
      <t>Produktit A</t>
    </r>
    <r>
      <rPr>
        <b/>
        <sz val="11"/>
        <color theme="1"/>
        <rFont val="Garamond"/>
        <family val="1"/>
      </rPr>
      <t xml:space="preserve"> sipas Artikujve Ekonomikë</t>
    </r>
  </si>
  <si>
    <r>
      <t xml:space="preserve">Detajimi i Kostos Totale të </t>
    </r>
    <r>
      <rPr>
        <b/>
        <sz val="11"/>
        <color rgb="FFFF0000"/>
        <rFont val="Garamond"/>
        <family val="1"/>
      </rPr>
      <t>Produktit K</t>
    </r>
    <r>
      <rPr>
        <b/>
        <sz val="11"/>
        <color theme="1"/>
        <rFont val="Garamond"/>
        <family val="1"/>
      </rPr>
      <t xml:space="preserve"> sipas Artikujve Ekonomikë</t>
    </r>
  </si>
  <si>
    <r>
      <t xml:space="preserve">Detajimi i Kostos Totale të </t>
    </r>
    <r>
      <rPr>
        <b/>
        <sz val="11"/>
        <color rgb="FFFF0000"/>
        <rFont val="Garamond"/>
        <family val="1"/>
      </rPr>
      <t>Produktit E</t>
    </r>
    <r>
      <rPr>
        <b/>
        <sz val="11"/>
        <color theme="1"/>
        <rFont val="Garamond"/>
        <family val="1"/>
      </rPr>
      <t xml:space="preserve"> sipas Artikujve Ekonomikë</t>
    </r>
  </si>
  <si>
    <r>
      <t xml:space="preserve">Detajimi i Kostos Totale të </t>
    </r>
    <r>
      <rPr>
        <b/>
        <sz val="11"/>
        <color rgb="FFFF0000"/>
        <rFont val="Garamond"/>
        <family val="1"/>
      </rPr>
      <t>Produktit F</t>
    </r>
    <r>
      <rPr>
        <b/>
        <sz val="11"/>
        <color theme="1"/>
        <rFont val="Garamond"/>
        <family val="1"/>
      </rPr>
      <t xml:space="preserve"> sipas Artikujve Ekonomikë</t>
    </r>
  </si>
  <si>
    <r>
      <t xml:space="preserve">Detajimi i Kostos Totale të </t>
    </r>
    <r>
      <rPr>
        <b/>
        <sz val="11"/>
        <color rgb="FFFF0000"/>
        <rFont val="Garamond"/>
        <family val="1"/>
      </rPr>
      <t>Produktit G</t>
    </r>
    <r>
      <rPr>
        <b/>
        <sz val="11"/>
        <color theme="1"/>
        <rFont val="Garamond"/>
        <family val="1"/>
      </rPr>
      <t xml:space="preserve"> sipas Artikujve Ekonomikë</t>
    </r>
  </si>
  <si>
    <r>
      <t xml:space="preserve">Detajimi i Kostos Totale të </t>
    </r>
    <r>
      <rPr>
        <b/>
        <sz val="11"/>
        <color rgb="FFFF0000"/>
        <rFont val="Garamond"/>
        <family val="1"/>
      </rPr>
      <t>Produktit H</t>
    </r>
    <r>
      <rPr>
        <b/>
        <sz val="11"/>
        <color theme="1"/>
        <rFont val="Garamond"/>
        <family val="1"/>
      </rPr>
      <t xml:space="preserve"> sipas Artikujve Ekonomikë</t>
    </r>
  </si>
  <si>
    <r>
      <t xml:space="preserve">Detajimi i Kostos Totale të </t>
    </r>
    <r>
      <rPr>
        <b/>
        <sz val="11"/>
        <color rgb="FFFF0000"/>
        <rFont val="Garamond"/>
        <family val="1"/>
      </rPr>
      <t xml:space="preserve">Produktit I </t>
    </r>
    <r>
      <rPr>
        <b/>
        <sz val="11"/>
        <color theme="1"/>
        <rFont val="Garamond"/>
        <family val="1"/>
      </rPr>
      <t>sipas Artikujve Ekonomikë</t>
    </r>
  </si>
  <si>
    <r>
      <t xml:space="preserve">Detajimi i Kostos Totale të </t>
    </r>
    <r>
      <rPr>
        <b/>
        <sz val="11"/>
        <color rgb="FFFF0000"/>
        <rFont val="Garamond"/>
        <family val="1"/>
      </rPr>
      <t xml:space="preserve">Produktit J </t>
    </r>
    <r>
      <rPr>
        <b/>
        <sz val="11"/>
        <color theme="1"/>
        <rFont val="Garamond"/>
        <family val="1"/>
      </rPr>
      <t>sipas Artikujve Ekonomikë</t>
    </r>
  </si>
  <si>
    <r>
      <t xml:space="preserve">Detajimi i Kostos Totale të </t>
    </r>
    <r>
      <rPr>
        <b/>
        <sz val="11"/>
        <color rgb="FFFF0000"/>
        <rFont val="Garamond"/>
        <family val="1"/>
      </rPr>
      <t xml:space="preserve">Produktit B </t>
    </r>
    <r>
      <rPr>
        <b/>
        <sz val="11"/>
        <color theme="1"/>
        <rFont val="Garamond"/>
        <family val="1"/>
      </rPr>
      <t>sipas Artikujve Ekonomikë</t>
    </r>
  </si>
  <si>
    <r>
      <t xml:space="preserve">Detajimi i Kostos Totale të </t>
    </r>
    <r>
      <rPr>
        <b/>
        <sz val="11"/>
        <color rgb="FFFF0000"/>
        <rFont val="Garamond"/>
        <family val="1"/>
      </rPr>
      <t>Produktit C</t>
    </r>
    <r>
      <rPr>
        <b/>
        <sz val="11"/>
        <color theme="1"/>
        <rFont val="Garamond"/>
        <family val="1"/>
      </rPr>
      <t xml:space="preserve"> sipas Artikujve Ekonomikë</t>
    </r>
  </si>
  <si>
    <r>
      <t xml:space="preserve">Programi përfshin shpenzimet buxhetore që kryhen për studimin, grumbullimin, analizën, informimin dhe vlerësimin objektiv të dokumentacionit të periudhës së regjimit komunist. Aktivitetet  dhe objektivat e </t>
    </r>
    <r>
      <rPr>
        <sz val="11"/>
        <rFont val="Garamond"/>
        <family val="1"/>
      </rPr>
      <t>këtij programi rrisin performancën e ISKK për një përdorim sa më eficent dhe efektiv të burimeve njerëzore dhe financiare.</t>
    </r>
    <r>
      <rPr>
        <sz val="11"/>
        <color rgb="FFFF0000"/>
        <rFont val="Garamond"/>
        <family val="1"/>
      </rPr>
      <t xml:space="preserve"> </t>
    </r>
  </si>
  <si>
    <t>Nr i kurrikulave te kontrolluara per dekomunistizimin e tyre ne te gjitha nivelet per sferen e lendeve humanitare (histori dhe letersi)</t>
  </si>
  <si>
    <r>
      <t>Detajimi i Kostos Totale të</t>
    </r>
    <r>
      <rPr>
        <b/>
        <sz val="11"/>
        <color rgb="FFFF0000"/>
        <rFont val="Garamond"/>
        <family val="1"/>
      </rPr>
      <t xml:space="preserve"> Produktit 1 </t>
    </r>
    <r>
      <rPr>
        <b/>
        <sz val="11"/>
        <color theme="1"/>
        <rFont val="Garamond"/>
        <family val="1"/>
      </rPr>
      <t>sipas Artikujve Ekonomikë</t>
    </r>
  </si>
  <si>
    <r>
      <t>Ndryshimi në % i Pagave si pasojë e ndryshimit të sasisë së produktit</t>
    </r>
    <r>
      <rPr>
        <b/>
        <i/>
        <sz val="11"/>
        <color rgb="FFFF0000"/>
        <rFont val="Garamond"/>
        <family val="1"/>
      </rPr>
      <t>**</t>
    </r>
  </si>
  <si>
    <r>
      <t>Ndryshimi në % i Sigurimeve Shoqërore dhe Shendetësore si pasojë e ndryshimit të sasisë së produktit</t>
    </r>
    <r>
      <rPr>
        <b/>
        <i/>
        <sz val="11"/>
        <color rgb="FFFF0000"/>
        <rFont val="Garamond"/>
        <family val="1"/>
      </rPr>
      <t>**</t>
    </r>
  </si>
  <si>
    <r>
      <t>Ndryshimi në % i Mallrave dhe Shërbimeve si pasojë e ndryshimit të sasisë së produktit</t>
    </r>
    <r>
      <rPr>
        <b/>
        <i/>
        <sz val="11"/>
        <color rgb="FFFF0000"/>
        <rFont val="Garamond"/>
        <family val="1"/>
      </rPr>
      <t>**</t>
    </r>
  </si>
  <si>
    <r>
      <t>Ndryshimi në % i Subvencioneve si pasojë e ndryshimit të sasisë së produktit</t>
    </r>
    <r>
      <rPr>
        <b/>
        <i/>
        <sz val="11"/>
        <color rgb="FFFF0000"/>
        <rFont val="Garamond"/>
        <family val="1"/>
      </rPr>
      <t>**</t>
    </r>
  </si>
  <si>
    <r>
      <t>Ndryshimi në % i Transfertave të brendshme si pasojë e ndryshimit të sasisë së produktit</t>
    </r>
    <r>
      <rPr>
        <b/>
        <i/>
        <sz val="11"/>
        <color rgb="FFFF0000"/>
        <rFont val="Garamond"/>
        <family val="1"/>
      </rPr>
      <t>**</t>
    </r>
  </si>
  <si>
    <r>
      <t>Ndryshimi në % i Transfertave të jashtme si pasojë e ndryshimit të sasisë së produktit</t>
    </r>
    <r>
      <rPr>
        <b/>
        <i/>
        <sz val="11"/>
        <color rgb="FFFF0000"/>
        <rFont val="Garamond"/>
        <family val="1"/>
      </rPr>
      <t>**</t>
    </r>
  </si>
  <si>
    <r>
      <t>Ndryshimi në % i Transfertave për familjet dhe individët si pasojë e ndryshimit të sasisë së produktit</t>
    </r>
    <r>
      <rPr>
        <b/>
        <i/>
        <sz val="11"/>
        <color rgb="FFFF0000"/>
        <rFont val="Garamond"/>
        <family val="1"/>
      </rPr>
      <t>**</t>
    </r>
  </si>
  <si>
    <r>
      <rPr>
        <b/>
        <sz val="11"/>
        <color rgb="FFFF0000"/>
        <rFont val="Garamond"/>
        <family val="1"/>
      </rPr>
      <t>Produkti 2</t>
    </r>
    <r>
      <rPr>
        <sz val="11"/>
        <color theme="1"/>
        <rFont val="Garamond"/>
        <family val="1"/>
      </rPr>
      <t xml:space="preserve"> </t>
    </r>
  </si>
  <si>
    <r>
      <t>Detajimi i Kostos Totale të</t>
    </r>
    <r>
      <rPr>
        <b/>
        <sz val="11"/>
        <color rgb="FFFF0000"/>
        <rFont val="Times New Roman"/>
        <family val="1"/>
        <charset val="238"/>
      </rPr>
      <t xml:space="preserve"> Produktit 2 </t>
    </r>
    <r>
      <rPr>
        <b/>
        <sz val="11"/>
        <color theme="1"/>
        <rFont val="Times New Roman"/>
        <family val="1"/>
        <charset val="238"/>
      </rPr>
      <t>sipas Artikujve Ekonomikë</t>
    </r>
  </si>
  <si>
    <r>
      <t xml:space="preserve">Detajimi i Kostos Totale të </t>
    </r>
    <r>
      <rPr>
        <b/>
        <sz val="11"/>
        <color rgb="FFFF0000"/>
        <rFont val="Times New Roman"/>
        <family val="1"/>
        <charset val="238"/>
      </rPr>
      <t>Produktit  3</t>
    </r>
    <r>
      <rPr>
        <b/>
        <sz val="11"/>
        <color theme="1"/>
        <rFont val="Times New Roman"/>
        <family val="1"/>
        <charset val="238"/>
      </rPr>
      <t xml:space="preserve"> sipas Artikujve Ekonomikë</t>
    </r>
  </si>
  <si>
    <r>
      <t xml:space="preserve">Detajimi i Kostos Totale të </t>
    </r>
    <r>
      <rPr>
        <b/>
        <sz val="11"/>
        <color rgb="FFFF0000"/>
        <rFont val="Times New Roman"/>
        <family val="1"/>
        <charset val="238"/>
      </rPr>
      <t>Produktit 2</t>
    </r>
    <r>
      <rPr>
        <b/>
        <sz val="11"/>
        <color theme="1"/>
        <rFont val="Times New Roman"/>
        <family val="1"/>
        <charset val="238"/>
      </rPr>
      <t xml:space="preserve"> sipas Artikujve Ekonomikë</t>
    </r>
  </si>
  <si>
    <t>Informacione në kohë reale</t>
  </si>
  <si>
    <t>Transport/udhëtime për pritje përcjellje</t>
  </si>
  <si>
    <t>Ambiente pune, salla mbledhje  dhe pritje të përshtatshme</t>
  </si>
  <si>
    <t>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t>
  </si>
  <si>
    <t>Studim e projektim per hipotekimin e pronave ne administrim te DPA-së</t>
  </si>
  <si>
    <t>1. (Veprimtaria e Ash për ShTI e zhvillim social-ekonomik të vendit                                         
Ash protagonist i zhvillimit të ShTI dhe zhvillimit ekonomik, social e kulturor të vendit.  Ky program synon realizimin e misionit të ASh në zhvillimet shkencore, teknologjike dhe intelektuale, në interes të integrimit europian të vendit, nëpërmjet: 
(i) hulumtimit të aspekteve më të rëndësishme social-ekonomike e trashëgimisë historiko-kulturore me qëllim ruajtjen e promovimin e vlerave me te mira kombëtare dhe zhvillimin e vlerave universale te demokracisë e respektimit të të drejtave të njeriut; 
(ii) hulumtimit të shkencave natyrore e teknike me qëllim përdorimin e metodologjive dhe teknologjive të përparuara; eficiente nga pikpamje ekonomike, të pranueshme nga pikpamja sociale dhe miqësore me mjedisin; 
(iii) rritjes së bashkëpunimit kombëtar e ndërkombëtar me institucionet e sistemit të ShTI dhe me akademitë e botës (ALLEA, TWOS, IAP) dhe organizma të tjera shkencore; 
(iv) vazhdimesisë së bashkëpunimit me Akademinë e Shkencave e Arteve të Kosovës, Kroaci, Mal te Zi dhe Maqedoni</t>
  </si>
  <si>
    <t xml:space="preserve">Fuqizimi i rolit të Akademisë së Shkencave, e aftë të kryejë misonin në zhvillimin e vendit, duke zbatuar prioritetet kombëtare në shkencë dhe nxitjes së kërkimeve në fushat përparësore, të zhvillimit ekonomik dhe teknologjik. si mjedisi, burimet natyrore e të rinovueshme, pyjet, emergjencat civile (gjeorisqet, tërmetet, epidemitë, përmbytjet, zjarri në pyje, orteqet, etj.), pasuritë ujore, bujqësia dhe ushqimi, biodiversiteti dhe bioteknologjia, teknologjitë e informacionit dhe komunikimit, shëndeti publik, si dhe ato të historisë, gjuhës, artit, kulturës e trashëgimisë kulturore kombëtare, kohezionit social etj. </t>
  </si>
  <si>
    <t>Veprimtaria mbikqyrese e Keshillit te Larte te Drejtesise</t>
  </si>
  <si>
    <t>Ne kete program jane perfshire politikat, objektivat dhe produkte e aktivitete te KLD, te cilat kane te bejne me garantimin e funksionimit normal te aktivitetit te Keshillit te Larte te Drejtesise dhe Inspektoratit te tij.</t>
  </si>
  <si>
    <t>Përmisimi i sistemit gjyqësor, duke forcuar pavarsinë, efikasitetin, trasparencën dhe qasjen e tij, me standartet më të mira europiane.</t>
  </si>
  <si>
    <t>Emërtimi i Treguesit 1: Eshte e pamundur te vendosim nje tregues ne nivel impakti, per shkak se sistemi i drejtesise eshte shume i gjere dhe matja e perceptueshmerise se ketij sistemi eshte e veshtire dhe do te realizohet ne vijim.</t>
  </si>
  <si>
    <t>Zhvillimin e karierës, dhe emërime objektive, transparente dhe sipas meritës, mbeshtetur në vlerësimin etiko profesional, si dhe në inspektimet e ankesave te shtetasve dhe të veprimtarisë administrative të kryetarëve të gjykatave.</t>
  </si>
  <si>
    <t>Numri i inspektimeve të kryera për vleresimin etiko profesional te gjyqtareve dhe kryetarëve të gjykatave, kundrejtë programimit.</t>
  </si>
  <si>
    <t>Numri i inspektimeve (hetimeve disiplinore) të ankesave të shtetasve dhe subjekteve të ndryshme, kundrejt totalit te ankesave.</t>
  </si>
  <si>
    <t>Inspektime te kryera</t>
  </si>
  <si>
    <t>Nr. dosjesh</t>
  </si>
  <si>
    <t xml:space="preserve">Blerje pajisje </t>
  </si>
  <si>
    <t>Pajisjet e zyrave jane kryesisht zevendesim asetesh dhe shtim i tyre</t>
  </si>
  <si>
    <t>Produkti 2 (shto produkte sipas rastit)</t>
  </si>
  <si>
    <t>Rikonstruksion ndertimi e te ngjashme</t>
  </si>
  <si>
    <r>
      <t xml:space="preserve"> </t>
    </r>
    <r>
      <rPr>
        <sz val="11"/>
        <rFont val="Garamond"/>
        <family val="1"/>
      </rPr>
      <t>Vlerësimi etiko profesinal i gjyqtarëve dhe kryerja e inspektimeve të ankesave te shtetasve apo subjekteve te ndryshme.</t>
    </r>
  </si>
  <si>
    <t>Koston totale te produktit nuk e kemi indeksuar me koeficientin e inflancionit pasi tavanet aktuale perballojne shpenzimet, pa qene nevoja te indeksohen me koeficientin e inflancionin</t>
  </si>
  <si>
    <t>Veprimtaria e rivlerësimit kalimtar të magjistratit</t>
  </si>
  <si>
    <t>03330</t>
  </si>
  <si>
    <t>Rivleresimi kalimtar i prokuroreve dhe gjyqtareve ne bazuar ne tre kritere:
a) vlerësimi i pasurisë;
b) kontrolli i figurës; dhe
c) vlerësimi i aftësive profesionale e profesionalizmit.</t>
  </si>
  <si>
    <t>Përcaktimi i rregullave të posaçme për rivlerësimin kalimtar të të gjithë subjekteve të rivlerësimit për të garantuar funksionimin e shtetit të së drejtës, pavarësisë së sistemit të drejtësisë, si dhe rikthimin e besimit të publikut tek institucionet e këtij sistemi.</t>
  </si>
  <si>
    <t>Rivleresimi kalimtar i prokuroreve dhe gjyqetareve</t>
  </si>
  <si>
    <t>Dosje te perfunduara kundrejt totalit te dosjeve per shqyrtim</t>
  </si>
  <si>
    <t xml:space="preserve">Dosje te shqyrtuara </t>
  </si>
  <si>
    <t>Organizimi në 4 trupa gjykuese.
Shpërndarja e çështjeve në trupat gjykuese, tw cilwt kanw kwto aktivitete:             1. thërritja e mbledhjeve dhe seancave dëgjimore;
2. bashkërendimi i punës dhe marrja e masave për të garantuar zbardhjen e vendimeve.
3. Përgatitja e dosjes.
4. ndërmarrja e procedurave për të garantuar provat e nevojshme për procesin.
5. marrja e  masave për të hartuar dokumentacionin e nevojshëm, 
6. marrja e  informacionit shtesw. 
7.  marrja e vendimit .</t>
  </si>
  <si>
    <t>Numer  dosjesh</t>
  </si>
  <si>
    <t xml:space="preserve">  Planifikimi, Menaxhimi dhe Administrim</t>
  </si>
  <si>
    <t>Ky Program konsiston në Planifikim, Menaxhim, Administrim, me eficensë të burimeve financiare, për mbarëvajtjen dhe mirefunksionimin institucional, për mbështetjen e stafit të ILDKPKI , në administrimin dhe kontrollin e interesave private, të zyrtarëve që mbartin detyrim për deklarim, duke patur si qëllim, hartimin e politikave dhe procedurave për administrimin efektiv të fondeve buxhetore nëpërmjet analizës dhe përcaktimit të standarteve në menyrë të matshme të shpenzimeve, realizim efektiv në forme të matshme për cdo vit të PBA-së të fondeve të akorduara nga buxheti i shtetit.</t>
  </si>
  <si>
    <t>Zbatimi I politikave buxhetore permes analizes se shpenzimeve dhe perdorimit ekonomik dhe eficent te burimeve financiare per zbatimin e tij, me qellim qe te realizohet Misioni I ILDKPKI, ne perputhje me politikat prioritare te institucionit dhe te strategjise kombetare per zhvillim dhe integrim</t>
  </si>
  <si>
    <t>Totali i Shpenzimeve</t>
  </si>
  <si>
    <t>134300</t>
  </si>
  <si>
    <t>134600</t>
  </si>
  <si>
    <t>134800</t>
  </si>
  <si>
    <t>Buxheti I akorduar per funksiionimin e aktivitetit te ILDKPKI, I cili konsiston ne permiresimin e infrastruktures kontrolluese te deklarimit te pasurive dhe parandaluese te konfliktit te interesave te personave qe mbarti+H10:H11n detyrim per deklarim per te siguruar cilesi te performances te ngjashme  me praktikat bashkohore.</t>
  </si>
  <si>
    <t>Sasia e deklaratave te pasurive te te zgjedhurve dhe te nepunesve publike te kontrolluara sipas llojeve</t>
  </si>
  <si>
    <t>Deklarata Pasurie te Kontrolluara sipas llojeve</t>
  </si>
  <si>
    <t>Perfshin  sasine e deklaratave te pasurive te te zgjedhurve dhe te nepunesve publike te kontrolluara sipas llojeve</t>
  </si>
  <si>
    <t>2. Kontroll i Plotë per deklarimin e pasurive dhe konfliktin e interesave, per 1,200 deklarata sipas llojeve te subjekteve qe mbartin detyrim per deklarim.</t>
  </si>
  <si>
    <t>Sasia e deklaratave te pasurive te te zgjedhurve dhe te nepunesve publike te kontrolluara  ne kontroll te plote</t>
  </si>
  <si>
    <r>
      <rPr>
        <b/>
        <sz val="11"/>
        <rFont val="Garamond"/>
        <family val="1"/>
      </rPr>
      <t>Produkti  1</t>
    </r>
    <r>
      <rPr>
        <sz val="11"/>
        <rFont val="Garamond"/>
        <family val="1"/>
      </rPr>
      <t xml:space="preserve"> (shto produkte sipas rastit)</t>
    </r>
  </si>
  <si>
    <t xml:space="preserve"> Deklarata të  Pasurive me Kontroll i Plotë </t>
  </si>
  <si>
    <t xml:space="preserve"> Perfshin  sasine e deklaratave te pasurive te te zgjedhurve dhe te nepunesve publike te kontrolluara sipas llojeve</t>
  </si>
  <si>
    <t>Detajimi i Kostos Totale të Produktit  1 sipas Artikujve Ekonomikë</t>
  </si>
  <si>
    <t>3. Kontroll i Plotë per 200 deklarata, mbi deklarimin e pasurive te gjyqtarëve dhe prokurorëve, subjekte të rivlerësimit në zbatim të .ligjit nr. 84/2016 “Për rivlerësimin kalimtar të gjyqtarëve dhe prokurorëve në Republikën e Shqipërisë</t>
  </si>
  <si>
    <t xml:space="preserve"> Deklarata të  Pasurive me Kontroll të Plotë  (Subjekte te Rivlerësimit)</t>
  </si>
  <si>
    <t>Perfshin  sasine e deklaratave te pasurive te subjekteve te rivleresimit ne kontroll te plote ne proces Vetingu</t>
  </si>
  <si>
    <t>4. Forcimi I kapaciteteve investiguese per parandalimin e konfliktit te interesave,  fshehjes se pasurive dhe I korrupsionit në sektorin publik dhe privat dhe mbrojtja e individëve  që sinjalizojnë veprimet korruptive.</t>
  </si>
  <si>
    <t>Kontroll dhe hetimi administrativ  i pasurive te deklaruara, parandalimi i korrupsionit në sektorin publik dhe privat dhe mbrojtja e individëve  që sinjalizojnë veprimet korruptive.</t>
  </si>
  <si>
    <t>Verifikimi në vend I përmbajtjes së aseteve të deklaruara dhe sigurimi I provës brenda dhe jashtë vendit , parandalimi I korrupsionit në sektorin publik dhe privat, në permbushje të detyrimit  ligjor</t>
  </si>
  <si>
    <r>
      <rPr>
        <b/>
        <sz val="11"/>
        <rFont val="Garamond"/>
        <family val="1"/>
      </rPr>
      <t>Produkti  2</t>
    </r>
    <r>
      <rPr>
        <sz val="11"/>
        <rFont val="Garamond"/>
        <family val="1"/>
      </rPr>
      <t xml:space="preserve"> (shto produkte sipas rastit)</t>
    </r>
  </si>
  <si>
    <t>Vleresimi I Pasurive me eksperte te pavarur</t>
  </si>
  <si>
    <t>Vleresimi I permbajtjes se aseteve te deklaruara dhe sigurimi I proves nga eksperte te fushes</t>
  </si>
  <si>
    <t>Detajimi i Kostos Totale të Produktit  2 sipas Artikujve Ekonomikë</t>
  </si>
  <si>
    <t>Blerje Pajisje Kompjuterike dhe  Elektronike</t>
  </si>
  <si>
    <t>Blerje pajisje kompjuterike per permiresimin e infrastruktures Teknologji-Informacion nëpërmjet implementimit të një platforme zhvillimi  me pajisje elektronike, për mbështeshtetjen e sistemit te menaxhimit dhe të kontrollit të deklarimit sipas llojeve dhe të Konfliktit te Interesit, duke arritur plotësimin e nevojave  te institucionit.</t>
  </si>
  <si>
    <t>Blerje dhe Instalim Sistem Audio Prezantimi</t>
  </si>
  <si>
    <t>Blerje e nje sistemi audio- prezantimi, ne permiresim te standarteve teknike ne eficensen e takimeve dhe prezantimeve ne ILDKPKI</t>
  </si>
  <si>
    <t xml:space="preserve">Ky investim ka si objektiv rritjen e standardeve teknike, ku nenkuptojme eficencen e mbledhjeve, takimeve dhe prezantimeve te ndryshme te zhvilluara ne sallen e ILDKPKI-se.   </t>
  </si>
  <si>
    <t>Detajimi i Kostos Totale të Produktit 2 sipas Artikujve Ekonomikë</t>
  </si>
  <si>
    <t>Blerje dhe instalim Sistem Aksesi</t>
  </si>
  <si>
    <t>Blerje e nje Sistem Aksesi , ne permiresim te standarteve teknike dhe te infrastruktures IT ne ILDKPKI</t>
  </si>
  <si>
    <t>Detajimi i Kostos Totale të Produktit 4 sipas Artikujve Ekonomikë</t>
  </si>
  <si>
    <t>Objektivi  6i Politikës së Programit</t>
  </si>
  <si>
    <t>Objektivi 6. Ofrimin e kushteve cilesore te punes, me qellim arritjen e standarteve bashkohore nepermjet sherbimeve duke arritur plotesimin e nevojave.</t>
  </si>
  <si>
    <t>Sherbime të pergjithshme dhe ambjent infrastrukturor I mirëmbajtur</t>
  </si>
  <si>
    <t>Produktet për Objektivin 6</t>
  </si>
  <si>
    <r>
      <rPr>
        <b/>
        <sz val="11"/>
        <color rgb="FFFF0000"/>
        <rFont val="Garamond"/>
        <family val="1"/>
      </rPr>
      <t>Produkti  1</t>
    </r>
    <r>
      <rPr>
        <sz val="11"/>
        <color theme="1"/>
        <rFont val="Garamond"/>
        <family val="1"/>
      </rPr>
      <t xml:space="preserve"> (shto produkte sipas rastit)</t>
    </r>
  </si>
  <si>
    <t>Sherbime te pergjithshme dhe ambjent infrastrukturor I mirmbajtur</t>
  </si>
  <si>
    <t>Materiale dhe sherbime te nevojshme te prokuruara</t>
  </si>
  <si>
    <t>Objektivi  7 i Politikës së Programit</t>
  </si>
  <si>
    <t>7. Intesifikimi punes njohese dhe trajnuese te  Autoriteteve  Pergjegjese , ne njohje te legjislacionit ne fuqi ne masen 95% ne target grup.</t>
  </si>
  <si>
    <t>Produktet për Objektivin 7</t>
  </si>
  <si>
    <t>Kundravajtje administrative dhe ligjore te ndjekura</t>
  </si>
  <si>
    <t>Masat e marra per Kundravajtje administrative dhe ligjore te ndjekura</t>
  </si>
  <si>
    <t>Objektivi  8 i Politikës së Programit</t>
  </si>
  <si>
    <t>8. Permiresimi I kapaciteteve te burimeve njerezore nepermjet rritjes profesionale dhe trajnimit te tyre ne masen 92%</t>
  </si>
  <si>
    <t>Treguesit e Performancës për Objektivin 8**</t>
  </si>
  <si>
    <t>Punonjes te trajnuar</t>
  </si>
  <si>
    <t>Produktet për Objektivin 8</t>
  </si>
  <si>
    <r>
      <rPr>
        <b/>
        <sz val="11"/>
        <color rgb="FFFF0000"/>
        <rFont val="Garamond"/>
        <family val="1"/>
      </rPr>
      <t>Produkti 8</t>
    </r>
    <r>
      <rPr>
        <sz val="11"/>
        <color theme="1"/>
        <rFont val="Garamond"/>
        <family val="1"/>
      </rPr>
      <t xml:space="preserve"> (shto produkte sipas rastit)</t>
    </r>
  </si>
  <si>
    <t>Perfshin shpenzimet e kryera per trajnimin e stafit administrativ te institucionit</t>
  </si>
  <si>
    <t>Detajimi i Kostos Totale të Produktit 8 sipas Artikujve Ekonomikë</t>
  </si>
  <si>
    <t>Kosto totale e produktit 8</t>
  </si>
  <si>
    <t>VEPRIMTARIA E PERSIDENTIT TE REPUBLIKES</t>
  </si>
  <si>
    <t>1001001</t>
  </si>
  <si>
    <t>Sigurimi i ekuilibrit midis organeve kushtetuese, qe kryejne drejtimin politik ne vend, nepermjet ushtrimit te kompetencave te Presidentit te Republikes, te dhena nga Kushtetuta.</t>
  </si>
  <si>
    <t>Zbatimi dhe respektimi nga te gjitha palet i Kushtetutes se Shqiperise.</t>
  </si>
  <si>
    <t>Ushtrimi i funksioneve kushtetuese te Presidentit nepermjet 250 dekretimeve te ndryshme per shpallje ligjesh, shtetesine shqiptare dhe per dekorata e tituj nderi.</t>
  </si>
  <si>
    <t>Numer dekretesh</t>
  </si>
  <si>
    <t>Dekrete per shpallje ligjesh, per shtetesine shqiptare dhe  dekorata e tituj nderi.</t>
  </si>
  <si>
    <t>Studimi i dosjeve per shpallje te ligjeve, studim dhe perpunim praktikash per dhenie e lenie te nenshtetesise, si edhe per dhenie te dekoratave e titujve te nderit.</t>
  </si>
  <si>
    <t>Te behen te njohura  vlerat kombetare, synimet e politikes se jashtme te vendit ne interes te Republikes se Shqiperise, nepermjet realizimit te 25 shkembimit te vizitave te Presidentit te Republikes.</t>
  </si>
  <si>
    <t>Numer vizitash</t>
  </si>
  <si>
    <t xml:space="preserve">Produkti </t>
  </si>
  <si>
    <t>Pritje dhe udhetime te Presidentit te Republikes brenda dhe jashte vendit.</t>
  </si>
  <si>
    <t>Organizimi I pritjeve, percjelljeve dhe trajtim te personaliteteve te ftuar nga Presidenti i Republikes, si edhe organizimi I vizitave te Presidentit te Republikes jashte vendit.</t>
  </si>
  <si>
    <r>
      <t>Detajimi i Kostos Totale të</t>
    </r>
    <r>
      <rPr>
        <b/>
        <sz val="12"/>
        <color rgb="FFFF0000"/>
        <rFont val="Garamond"/>
        <family val="1"/>
      </rPr>
      <t xml:space="preserve"> Produktit  </t>
    </r>
    <r>
      <rPr>
        <b/>
        <sz val="12"/>
        <color theme="1"/>
        <rFont val="Garamond"/>
        <family val="1"/>
      </rPr>
      <t>sipas Artikujve Ekonomikë</t>
    </r>
  </si>
  <si>
    <t>Te mbeshtese e te nxise vlerat kombetare, si element thelbesor qe ndikon ne zhvillimin e shtetit, nepermjet organizimit te 300 veprimtarive kryesore protokollare brenda vendit.</t>
  </si>
  <si>
    <t>Numer aktivitetesh</t>
  </si>
  <si>
    <r>
      <rPr>
        <b/>
        <sz val="12"/>
        <color rgb="FFFF0000"/>
        <rFont val="Garamond"/>
        <family val="1"/>
      </rPr>
      <t xml:space="preserve">Produkti </t>
    </r>
    <r>
      <rPr>
        <sz val="12"/>
        <color theme="1"/>
        <rFont val="Garamond"/>
        <family val="1"/>
      </rPr>
      <t xml:space="preserve"> </t>
    </r>
  </si>
  <si>
    <t>Veprimtari protokollare brenda vendit</t>
  </si>
  <si>
    <t>Organizimi i veprimtarive ne Institucion, si  edhe organizimi i aktiviteteve brenda vendit.</t>
  </si>
  <si>
    <t>M010018</t>
  </si>
  <si>
    <t>Blerje automjeti per administraten</t>
  </si>
  <si>
    <t>Blerje e nje automjeti per administraten</t>
  </si>
  <si>
    <t>M010019</t>
  </si>
  <si>
    <t>Sistemi back up i energjise</t>
  </si>
  <si>
    <t>Sistem back up i energjise i rinovuar</t>
  </si>
  <si>
    <t xml:space="preserve">Rinovimi i sistemit back up te energjise, nepermjet riparimit te UPS ekzistues dhe blerjes se baterive te reja </t>
  </si>
  <si>
    <t>Numer sistemesh</t>
  </si>
  <si>
    <r>
      <t xml:space="preserve">Detajimi i Kostos Totale të </t>
    </r>
    <r>
      <rPr>
        <b/>
        <sz val="12"/>
        <color rgb="FFFF0000"/>
        <rFont val="Garamond"/>
        <family val="1"/>
      </rPr>
      <t xml:space="preserve">Produktit </t>
    </r>
    <r>
      <rPr>
        <b/>
        <sz val="12"/>
        <color theme="1"/>
        <rFont val="Garamond"/>
        <family val="1"/>
      </rPr>
      <t>2 sipas Artikujve Ekonomikë</t>
    </r>
  </si>
  <si>
    <t>M010021</t>
  </si>
  <si>
    <t>Sistemi i kamerave te sigurise</t>
  </si>
  <si>
    <t>Sistem i kamerave te sigurise i rinovuar</t>
  </si>
  <si>
    <t xml:space="preserve">Rikonstruksioni i sistemit te kamerave te sigurise, nepermjet zevendesimit te kamerave ekzistuese dhe rrjetit lidhes. </t>
  </si>
  <si>
    <t>Blerje pajisje kompjuterike dhe elektronike</t>
  </si>
  <si>
    <t>Pajisje kompjuterike</t>
  </si>
  <si>
    <t>Numer pajisjesh</t>
  </si>
  <si>
    <r>
      <t xml:space="preserve">Detajimi i Kostos Totale të </t>
    </r>
    <r>
      <rPr>
        <b/>
        <sz val="12"/>
        <color rgb="FFFF0000"/>
        <rFont val="Garamond"/>
        <family val="1"/>
      </rPr>
      <t>Produktit 4</t>
    </r>
    <r>
      <rPr>
        <b/>
        <sz val="12"/>
        <color theme="1"/>
        <rFont val="Garamond"/>
        <family val="1"/>
      </rPr>
      <t xml:space="preserve"> sipas Artikujve Ekonomikë</t>
    </r>
  </si>
  <si>
    <t>Blerje pajisje dhe orendi zyre</t>
  </si>
  <si>
    <t>Pajisje dhe orendi zyre</t>
  </si>
  <si>
    <r>
      <t xml:space="preserve">Detajimi i Kostos Totale të </t>
    </r>
    <r>
      <rPr>
        <b/>
        <sz val="12"/>
        <color rgb="FFFF0000"/>
        <rFont val="Garamond"/>
        <family val="1"/>
      </rPr>
      <t>Produktit 5</t>
    </r>
  </si>
  <si>
    <t>Veprimtaria e apelimit të rivlerësimit kalimtar</t>
  </si>
  <si>
    <t>03340</t>
  </si>
  <si>
    <t>Mbështetja e veprimtarisë së Kolegjit të Posaçëm të Apelimit për shqyrtimin e ankimeve ndaj vendimeve të Komisionit të Pavarur të Kualifikimit; ushtrimin e juridiksionit disiplinor ndaj subjekteve të përcaktuara në ligj si dhe shqyrtimin e ankimeve kundër vendimeve të organeve të sistemit të drejtësisë për vendosjen e masave disiplinore.</t>
  </si>
  <si>
    <t>Funksionimi i shtetit të së drejtës, pavarësisë së sistemit të drejtësisë si dhe rikthimi i besimit të publikut tek institucionet e këtij sistemi.</t>
  </si>
  <si>
    <t>Niveli i korrupsionit</t>
  </si>
  <si>
    <t>Niveli i besimit publik</t>
  </si>
  <si>
    <t>Të shqyrtojë çështjet e ankimuara nën juridiksion, bazuar në një proçes të rregullt ligjor.</t>
  </si>
  <si>
    <t>Numri i çështjeve të përfunduara në raport me numrin e çështjeve të ankimuara.</t>
  </si>
  <si>
    <t>Çështje të përfunduara</t>
  </si>
  <si>
    <t>Çështjet e ankimuara, shqyrtuara dhe marrë vendimi</t>
  </si>
  <si>
    <t>Numer çështjesh.</t>
  </si>
  <si>
    <t>Për këtë produkt luhatja e rezultuar në sasi, në kosto totale dhe kosto për njësi ka ardhur si rezultat i  përllogaritjes për një afat kohor më të gjatë (nga shtatë muaj në një vit) (për më gjerë relacioni bashkëlidhur)</t>
  </si>
  <si>
    <t>Sigurimi i kushteve optimale të punës me qëllim garantimin e standarteve të ushtrimit të veprimtarisë institucionale.</t>
  </si>
  <si>
    <t>Ambjente pune me kushte optimale</t>
  </si>
  <si>
    <t>M630001</t>
  </si>
  <si>
    <t>Blerje paisje dhe mobilje zyre</t>
  </si>
  <si>
    <t>Pajisje dhe Mobilje për zyrat e gjyqtareve, personelit administrativ , salles se gjykimit, salles së mbledhjeve dhe ambjenteve te tjera.</t>
  </si>
  <si>
    <t>Numër ambjentesh</t>
  </si>
  <si>
    <t>Për këtë produkt luhatja e rezultuar në sasi, në kosto totale dhe kosto për njësi ka ardhur si rezultat i shperndarjes se mallrave me karakter te ndryshem si dhe numrit te punonjesve ne to.(për më gjerë relacioni bashkëlidhur)</t>
  </si>
  <si>
    <t>M630013</t>
  </si>
  <si>
    <t>Blerje paisje elektronike</t>
  </si>
  <si>
    <t>Blerje pajisje elektronike për personelin administrativ</t>
  </si>
  <si>
    <t>Numër poste pune</t>
  </si>
  <si>
    <t>M630021</t>
  </si>
  <si>
    <t>Software te menaxhimit te ceshtjeve</t>
  </si>
  <si>
    <t>Informatizim te procesit te menaxhimit të çështjes gjyqësore</t>
  </si>
  <si>
    <t>Numër programi kompjuterik</t>
  </si>
  <si>
    <t>Detajimi i Kostos Totale të Produktit 3 sipas Artikujve Ekonomikë</t>
  </si>
  <si>
    <t>M630022</t>
  </si>
  <si>
    <t>Software aktiviteti financiar</t>
  </si>
  <si>
    <t>Informatizim i aktivitetit financiar të institucionit</t>
  </si>
  <si>
    <t>M630012</t>
  </si>
  <si>
    <t>Sistemi audio- video sallë gjyqi dhe mbledhje</t>
  </si>
  <si>
    <t>Sistem për rregjistrimin audio-video të seancave gjyqësore dhe mbledhjeve të gjyqtarëve</t>
  </si>
  <si>
    <t>Numër sistemi</t>
  </si>
  <si>
    <t>Detajimi i Kostos Totale të Produktit 5 sipas Artikujve Ekonomikë</t>
  </si>
  <si>
    <t>Shënim: Shpjegoni supozimet dhe llogaritjet për Produktin 5</t>
  </si>
  <si>
    <t>M630019</t>
  </si>
  <si>
    <t>Paisje scaner  per kontroll, ure metali dedektor</t>
  </si>
  <si>
    <t>Produkti 6</t>
  </si>
  <si>
    <t xml:space="preserve">Instalim sistem kontrolli dhe dedektorë skanimi për kontrollin e flukseve hyrëse </t>
  </si>
  <si>
    <t>Nunër sistemesh</t>
  </si>
  <si>
    <t>Detajimi i Kostos Totale të Produktit 6 sipas Artikujve Ekonomikë</t>
  </si>
  <si>
    <t>Kosto totale e produktit 6</t>
  </si>
  <si>
    <t>Shënim: Shpjegoni supozimet dhe llogaritjet për Produktin 6</t>
  </si>
  <si>
    <t>M630020</t>
  </si>
  <si>
    <t>Blerje automjeti për institucionin</t>
  </si>
  <si>
    <t>Produkti 7</t>
  </si>
  <si>
    <t>Automjet për levizjet e administratës së instucionit</t>
  </si>
  <si>
    <t>Numër automjetesh</t>
  </si>
  <si>
    <t>Detajimi i Kostos Totale të Produktit 7 sipas Artikujve Ekonomikë</t>
  </si>
  <si>
    <t>Kosto totale e produktit 7</t>
  </si>
  <si>
    <r>
      <t>Ndryshimi në % i Pagave si pasojë e ndryshimit të sasisë së produktit</t>
    </r>
    <r>
      <rPr>
        <b/>
        <i/>
        <sz val="11"/>
        <rFont val="Garamond"/>
        <family val="1"/>
      </rPr>
      <t>**</t>
    </r>
  </si>
  <si>
    <r>
      <t>Ndryshimi në % i Sigurimeve Shoqërore dhe Shendetësore si pasojë e ndryshimit të sasisë së produktit</t>
    </r>
    <r>
      <rPr>
        <b/>
        <i/>
        <sz val="11"/>
        <rFont val="Garamond"/>
        <family val="1"/>
      </rPr>
      <t>**</t>
    </r>
  </si>
  <si>
    <r>
      <t>Ndryshimi në % i Mallrave dhe Shërbimeve si pasojë e ndryshimit të sasisë së produktit</t>
    </r>
    <r>
      <rPr>
        <b/>
        <i/>
        <sz val="11"/>
        <rFont val="Garamond"/>
        <family val="1"/>
      </rPr>
      <t>**</t>
    </r>
  </si>
  <si>
    <r>
      <t>Ndryshimi në % i Subvencioneve si pasojë e ndryshimit të sasisë së produktit</t>
    </r>
    <r>
      <rPr>
        <b/>
        <i/>
        <sz val="11"/>
        <rFont val="Garamond"/>
        <family val="1"/>
      </rPr>
      <t>**</t>
    </r>
  </si>
  <si>
    <r>
      <t>Ndryshimi në % i Transfertave të brendshme si pasojë e ndryshimit të sasisë së produktit</t>
    </r>
    <r>
      <rPr>
        <b/>
        <i/>
        <sz val="11"/>
        <rFont val="Garamond"/>
        <family val="1"/>
      </rPr>
      <t>**</t>
    </r>
  </si>
  <si>
    <r>
      <t>Ndryshimi në % i Transfertave të jashtme si pasojë e ndryshimit të sasisë së produktit</t>
    </r>
    <r>
      <rPr>
        <b/>
        <i/>
        <sz val="11"/>
        <rFont val="Garamond"/>
        <family val="1"/>
      </rPr>
      <t>**</t>
    </r>
  </si>
  <si>
    <r>
      <t>Ndryshimi në % i Transfertave për familjet dhe individët si pasojë e ndryshimit të sasisë së produktit</t>
    </r>
    <r>
      <rPr>
        <b/>
        <i/>
        <sz val="11"/>
        <rFont val="Garamond"/>
        <family val="1"/>
      </rPr>
      <t>**</t>
    </r>
  </si>
  <si>
    <r>
      <t>Shënim: Shpjegoni supozimet dhe llogaritjet për Produktin 1 (Metoda 2)</t>
    </r>
    <r>
      <rPr>
        <b/>
        <sz val="11"/>
        <rFont val="Garamond"/>
        <family val="1"/>
      </rPr>
      <t>***</t>
    </r>
  </si>
  <si>
    <r>
      <t xml:space="preserve">Shënim: </t>
    </r>
    <r>
      <rPr>
        <i/>
        <sz val="11"/>
        <rFont val="Garamond"/>
        <family val="1"/>
      </rPr>
      <t>Shpjegoni supozimet dhe llogaritjet (Metoda 1)</t>
    </r>
  </si>
  <si>
    <t xml:space="preserve">Mbeshtetje  financiare dhe teknike per Shoqerine Civile  ne kuader te zhvillimit cilesor te sherbimeve sociale </t>
  </si>
  <si>
    <t>Per realizimin e misionit te saj AMSHC -ja ofron asistence financiare  dhe teknike per programet qe nxisin e forcojne qendrueshmerine e organizatave joftimprurese, bashkepunimin ndersektorial e nderkombetar, nismat civile, filantropine, vullnetarizmin e institucionet demokratike te shoqerise si dhe programe te tjera qe lehtesojne permbushjen e misionit te saj.</t>
  </si>
  <si>
    <t xml:space="preserve">Krijimi I kushteve per rritje  te  qendrueshme te  shoqerise civile ne vend permes nje shoqerie civile me vibrante dhe pjesemarrese ne vendimarrje dhe monitorim politikash publike. </t>
  </si>
  <si>
    <t xml:space="preserve">45 projekte </t>
  </si>
  <si>
    <t>30 monitorime ne terren</t>
  </si>
  <si>
    <t xml:space="preserve">Asistence teknike e Shoqerise Civile ne vend permes realizimit te trajnimeve informuese, workshopeve, </t>
  </si>
  <si>
    <t>25 takime/trajnime/workshops</t>
  </si>
  <si>
    <t>Mbeshtetje financiare  dhe monitorim per me shume projekte te OJF- ve sipas programeve te percaktuara nga Bordi Mbikqyres I AMSHC -se.</t>
  </si>
  <si>
    <t xml:space="preserve">Numer projektesh te Shoqerise Civile  te financuara ne vit </t>
  </si>
  <si>
    <t>Numer projektesh te monitoruara ne terren</t>
  </si>
  <si>
    <t>Numer takimesh informative apo konsultative/ numer trajnimesh etj</t>
  </si>
  <si>
    <t>25 takime ne vit</t>
  </si>
  <si>
    <t xml:space="preserve"> Realizimi I thirrjeve per Projekt propozime dhe financimi I  projekteve te OJF- ve </t>
  </si>
  <si>
    <t xml:space="preserve">Ky produkt nenkupton ndjekjen  me sukses te proçesit te shpalljes se Thirrjes per projektpropozime, vleresimeve te projekteve qe aplikojne prane AMSHC- se per financim bazuar ne Ligjin per Krijimin e AMSHC -se. Pas kesaj shpallen projektet qe do financohen gjithmone sipas programeve te interesit te cilat percaktohen nga Bordi Mbikqyres i AMSHC -se ne bazuar mbi programet strategjike te AMSHC- se si dhe bazuar ne gjetjet e takimeve konsultative te cilat organizohen nga AMSHC- ja para çdo shpallje te Thirrjeve. </t>
  </si>
  <si>
    <t xml:space="preserve">Numer projektesh te financuara ne vit </t>
  </si>
  <si>
    <r>
      <t xml:space="preserve">Detajimi i Kostos Totale të </t>
    </r>
    <r>
      <rPr>
        <b/>
        <sz val="8"/>
        <color rgb="FFFF0000"/>
        <rFont val="Garamond"/>
        <family val="1"/>
      </rPr>
      <t>Produktit 1</t>
    </r>
    <r>
      <rPr>
        <b/>
        <sz val="8"/>
        <color theme="1"/>
        <rFont val="Garamond"/>
        <family val="1"/>
      </rPr>
      <t xml:space="preserve"> sipas Artikujve Ekonomikë</t>
    </r>
  </si>
  <si>
    <t xml:space="preserve">Realizim ne terren I monitorimeve/inspektimeve te projekteve te financuara </t>
  </si>
  <si>
    <t>Projektet e financuara nga AMSHC- ja, ndiqen pergjate vitit dhe monitorohen si nga pikpamja e realizimit te aktiviteteve te pershkruara ne kontrate dhe ky monitorim mujnd te realizohet   edhe ne terren,  ashtu edhe nga ana financiare persa I takon dokumentave justifikues te OJF-ve ne lidhje me perdorimin e fondit.</t>
  </si>
  <si>
    <t xml:space="preserve">Numer projektesh te monitoruara /inspektuara </t>
  </si>
  <si>
    <r>
      <t>Detajimi i Kostos Totale të</t>
    </r>
    <r>
      <rPr>
        <b/>
        <sz val="8"/>
        <color rgb="FFFF0000"/>
        <rFont val="Garamond"/>
        <family val="1"/>
      </rPr>
      <t xml:space="preserve"> Produktit 2 </t>
    </r>
    <r>
      <rPr>
        <b/>
        <sz val="8"/>
        <color theme="1"/>
        <rFont val="Garamond"/>
        <family val="1"/>
      </rPr>
      <t>sipas Artikujve Ekonomikë</t>
    </r>
  </si>
  <si>
    <t xml:space="preserve">Produkti 3 </t>
  </si>
  <si>
    <t xml:space="preserve">Mbeshtetje /asistence  teknike  dhe informuese e OJF- ve </t>
  </si>
  <si>
    <t>Ky produkt nenkupton organizimin e trajnimeve, takimeve informuese apo konsultative me OJF -te dhe shoqerine civile ne vend me qellim rritjen e kapaciteteve te OJF ve ne vend permes rritjes se aftesimit te OJF - ve   per perthithjen e fondeve dhe perdorimin eficent te tyre ne realizimin e projekteve.</t>
  </si>
  <si>
    <t xml:space="preserve">Numer takimesh/trajnimesh organizuara </t>
  </si>
  <si>
    <t xml:space="preserve">Shpenzime administrative kapitale </t>
  </si>
  <si>
    <r>
      <t xml:space="preserve">Detajimi i Kostos Totale të </t>
    </r>
    <r>
      <rPr>
        <b/>
        <sz val="8"/>
        <color rgb="FFFF0000"/>
        <rFont val="Garamond"/>
        <family val="1"/>
      </rPr>
      <t>Produktit X</t>
    </r>
    <r>
      <rPr>
        <b/>
        <sz val="8"/>
        <color theme="1"/>
        <rFont val="Garamond"/>
        <family val="1"/>
      </rPr>
      <t xml:space="preserve"> sipas Artikujve Ekonomikë</t>
    </r>
  </si>
  <si>
    <r>
      <t xml:space="preserve">Detajimi i Kostos Totale të </t>
    </r>
    <r>
      <rPr>
        <b/>
        <sz val="8"/>
        <color rgb="FFFF0000"/>
        <rFont val="Garamond"/>
        <family val="1"/>
      </rPr>
      <t xml:space="preserve">Produktit 1 </t>
    </r>
    <r>
      <rPr>
        <b/>
        <sz val="8"/>
        <color theme="1"/>
        <rFont val="Garamond"/>
        <family val="1"/>
      </rPr>
      <t>sipas Artikujve Ekonomikë</t>
    </r>
  </si>
  <si>
    <r>
      <rPr>
        <b/>
        <sz val="8"/>
        <color rgb="FFFF0000"/>
        <rFont val="Garamond"/>
        <family val="1"/>
      </rPr>
      <t>Produkti X</t>
    </r>
    <r>
      <rPr>
        <sz val="8"/>
        <color theme="1"/>
        <rFont val="Garamond"/>
        <family val="1"/>
      </rPr>
      <t xml:space="preserve"> (shto produkte sipas rastit)</t>
    </r>
  </si>
  <si>
    <t>Veprimtari Akademike</t>
  </si>
  <si>
    <t>Bashkëpunon me institucione kërkimore dhe mësimore, brenda dhe jashtë vendit, që kanë kapacitetet e nevojshme fizike për kërkim, për kryerjen e studimeve në fusha të ndryshme të shkencës</t>
  </si>
  <si>
    <t>Norma e Realizimit te programit teoriko-praktik te ciklit 2-3 vjecar per 59 Kandidate  megjistrate dhe  25 avokate shteti e ndihmesa  ligjore</t>
  </si>
  <si>
    <t>Norma e realizimit te programit teoriko-praktik te ciklit 3 mujor per 11 kancelare te gjykatave e prokurorive</t>
  </si>
  <si>
    <t>Norma e realizimit te programit teoriko-praktik te ciklit 2 vjecar per 0 ndihmesa e  keshilltare ligjore (rivlersimi ex officio)</t>
  </si>
  <si>
    <t xml:space="preserve">Norma e realizimit te 89 sesioneve trajnuese per magjistrate, avokate shteti  dhe ndihmesa ligjore  </t>
  </si>
  <si>
    <t>Norma e realizimit te 15 sesioneve trajnuese per kancelare qe punojne ne gjykata e prokurori</t>
  </si>
  <si>
    <t>Veprimtaria Informative Shtetërore</t>
  </si>
  <si>
    <t>03520</t>
  </si>
  <si>
    <t>Shpenzimet e këtij programi përfaqësojnë grupin e njësive organizativo-strukturore të institucionit, që kryejnë veprimtarinë kryesore të tij: Sigurimin e informacionit të domosdoshëm nga zbulimi dhe kundërzbulimi në funksion të sigurisë kombëtare, rajonal</t>
  </si>
  <si>
    <t>Përmirësimin sasior dhe cilësor të punës, duke rritur efektivitetin dhe efiçencën në sigurimin e informacionit, kundër veprimtarive që cënojnë sigurinë kombëtare, duke dhënë kontribut më të madh në kuadër të NATO-s dhe vendeve të BE-së, me synim aplikimin</t>
  </si>
  <si>
    <t xml:space="preserve">e pa matshme </t>
  </si>
  <si>
    <t>Realizimi i produktit informativ, i dobishëm për instancat politikbërëse, ligjzbatuese dhe partnerët strategjikë, rajonalë, euroatlantikë, etj., ndaj veprimtarive që cënojnë sigurinë kombëtare nga brenda dhe jashtë vendit, si terrorizmi, krimi i organizua</t>
  </si>
  <si>
    <t xml:space="preserve">Numri shtese i informacioneve ne %, krahasuar me vitin paraardhes </t>
  </si>
  <si>
    <t xml:space="preserve">Informacione për veprimtari që cënojnë sigurinë kombëtare </t>
  </si>
  <si>
    <t>Informacione për zhvillime dhe veprimtari që cënojnë sigurinë kombëtare nga brenda dhe jashte vendit si terrorizmi, krimi i organizuar, përhapja e armëve të dëmtimit në masë, krimi kibernetik dhe atij ndaj mjedisit, për ruajtjen e integritetit, pavarësisë</t>
  </si>
  <si>
    <t xml:space="preserve">Numer Informacionesh </t>
  </si>
  <si>
    <t>sekret</t>
  </si>
  <si>
    <t>M180017 (Blerje paisje dhe orendi zyre per zevendesim.)</t>
  </si>
  <si>
    <t xml:space="preserve">sekret </t>
  </si>
  <si>
    <t>M180043 (Blerje dhe instalim kondicionerë për zëvendësim.)</t>
  </si>
  <si>
    <t>M180046 (Blerje pajisje te teknologjise se Informacionit: kompjutera, printera, ups-a etj.)</t>
  </si>
  <si>
    <t xml:space="preserve">Te tjere inventar ekonomik per filialet e kualifik-trajnimit per zevendesim. </t>
  </si>
  <si>
    <t xml:space="preserve">Pasi jane evidentuar paisjet, si dhe orendit e zyrave te cilat jane amortizuar (vjeteruar) ka dal domosdoshmeri zevendesimi i tyre per vijemesine normale te punes. Ne perllogaritje eshte reflektuar edhe rritja e cmimeve nga inflacioni. Thekesojme se ende </t>
  </si>
  <si>
    <t>M180109 (Implementim i sistemit elektronik te sigurise dhe akses kontrollit ne AQ, SHISH.)</t>
  </si>
  <si>
    <t>M180064 (Blerje paisje te tjera teknike te sektorit operativ, për mbledhjen e informacionit.)</t>
  </si>
  <si>
    <t>M180037 (Blerje automjete per rinovimin e parkut te SHISH.)</t>
  </si>
  <si>
    <t>M180044 (Blerje mjete dhe paisje të tjera teknike.)</t>
  </si>
  <si>
    <t>20(kap.6) +1(buxh)</t>
  </si>
  <si>
    <t>21(kap.6) +1(buxh)</t>
  </si>
  <si>
    <t>24(kap.6) +1(buxh)</t>
  </si>
  <si>
    <r>
      <t xml:space="preserve">Detajimi i Kostos Totale të </t>
    </r>
    <r>
      <rPr>
        <b/>
        <sz val="11"/>
        <color indexed="10"/>
        <rFont val="Garamond"/>
        <family val="1"/>
      </rPr>
      <t>Produktit 1</t>
    </r>
    <r>
      <rPr>
        <b/>
        <sz val="11"/>
        <color indexed="8"/>
        <rFont val="Garamond"/>
        <family val="1"/>
      </rPr>
      <t xml:space="preserve"> sipas Artikujve Ekonomikë</t>
    </r>
  </si>
  <si>
    <r>
      <t xml:space="preserve">600. Pagat </t>
    </r>
    <r>
      <rPr>
        <b/>
        <sz val="11"/>
        <color indexed="8"/>
        <rFont val="Garamond"/>
        <family val="1"/>
      </rPr>
      <t>(tavani i pamjaftueshem per te perballuar nevojat per vitet 2019-2021 sipas strukture se re)</t>
    </r>
  </si>
  <si>
    <r>
      <rPr>
        <b/>
        <sz val="11"/>
        <color indexed="10"/>
        <rFont val="Garamond"/>
        <family val="1"/>
      </rPr>
      <t>Produkti X</t>
    </r>
    <r>
      <rPr>
        <sz val="11"/>
        <color indexed="8"/>
        <rFont val="Garamond"/>
        <family val="1"/>
      </rPr>
      <t xml:space="preserve"> (shto produkte sipas rastit)</t>
    </r>
  </si>
  <si>
    <r>
      <t>Detajimi i Kostos Totale të</t>
    </r>
    <r>
      <rPr>
        <b/>
        <sz val="11"/>
        <color indexed="10"/>
        <rFont val="Garamond"/>
        <family val="1"/>
      </rPr>
      <t xml:space="preserve"> Produktit X </t>
    </r>
    <r>
      <rPr>
        <b/>
        <sz val="11"/>
        <color indexed="8"/>
        <rFont val="Garamond"/>
        <family val="1"/>
      </rPr>
      <t>sipas Artikujve Ekonomikë</t>
    </r>
  </si>
  <si>
    <r>
      <t xml:space="preserve">Detajimi i Kostos Totale të </t>
    </r>
    <r>
      <rPr>
        <b/>
        <sz val="11"/>
        <color indexed="10"/>
        <rFont val="Garamond"/>
        <family val="1"/>
      </rPr>
      <t>Produktit X</t>
    </r>
    <r>
      <rPr>
        <b/>
        <sz val="11"/>
        <color indexed="8"/>
        <rFont val="Garamond"/>
        <family val="1"/>
      </rPr>
      <t xml:space="preserve"> sipas Artikujve Ekonomikë</t>
    </r>
  </si>
  <si>
    <r>
      <t xml:space="preserve">Detajimi i Kostos Totale të </t>
    </r>
    <r>
      <rPr>
        <b/>
        <sz val="11"/>
        <color indexed="10"/>
        <rFont val="Garamond"/>
        <family val="1"/>
      </rPr>
      <t xml:space="preserve">Produktit 1 </t>
    </r>
    <r>
      <rPr>
        <b/>
        <sz val="11"/>
        <color indexed="8"/>
        <rFont val="Garamond"/>
        <family val="1"/>
      </rPr>
      <t>sipas Artikujve Ekonomikë</t>
    </r>
  </si>
  <si>
    <t xml:space="preserve">Veprimtaria audituese </t>
  </si>
  <si>
    <t>1024001</t>
  </si>
  <si>
    <t>Veprimtaria audituese e KLSH</t>
  </si>
  <si>
    <t>Qëllimi i aplikimit të politikave dhe procedurave me synim modernizimin institucional është Auditimi i përdorimit me ekonomicitet, eficencë, efektiv të fondeve publike në funksion rritjes së përgjegjshmërisë së menaxhimit të finacave publike.</t>
  </si>
  <si>
    <t xml:space="preserve">Mbulimi me auditim i fondeve buxhetore </t>
  </si>
  <si>
    <t xml:space="preserve">RRITJA E IMPAKTIT TË VEPRIMTARISE AUDITUESE </t>
  </si>
  <si>
    <t xml:space="preserve">Rritja e nivelit te zbatimit rekomandimeve te KLSH-se. </t>
  </si>
  <si>
    <t xml:space="preserve"> Auditime</t>
  </si>
  <si>
    <t>Auditime te perputhshmerise,rregullshmerise dhe auditime financiare</t>
  </si>
  <si>
    <t>Nr Auditimesh</t>
  </si>
  <si>
    <t>Auditime</t>
  </si>
  <si>
    <t>Auditim performance</t>
  </si>
  <si>
    <t>Kosto totale e produktit2</t>
  </si>
  <si>
    <t>M24012</t>
  </si>
  <si>
    <t>Blerja e2- automjeteve  per vitin 2019</t>
  </si>
  <si>
    <t>M24006</t>
  </si>
  <si>
    <t>Produkti1</t>
  </si>
  <si>
    <t>auditime</t>
  </si>
  <si>
    <t>NR auditimesh</t>
  </si>
  <si>
    <t>M24010</t>
  </si>
  <si>
    <t xml:space="preserve">Auditim </t>
  </si>
  <si>
    <r>
      <t xml:space="preserve">Detajimi i Kostos Totale të </t>
    </r>
    <r>
      <rPr>
        <b/>
        <sz val="11"/>
        <color rgb="FFFF0000"/>
        <rFont val="Garamond"/>
        <family val="1"/>
      </rPr>
      <t>Produktit 1</t>
    </r>
    <r>
      <rPr>
        <b/>
        <sz val="11"/>
        <color theme="1"/>
        <rFont val="Garamond"/>
        <family val="1"/>
      </rPr>
      <t>sipas Artikujve Ekonomikë</t>
    </r>
  </si>
  <si>
    <t>Mbeshtetje financiare mbi veprimtarine kinematografike</t>
  </si>
  <si>
    <t>08220</t>
  </si>
  <si>
    <t>Financim i pjesshem I projekteve kinematografike i cili synon nxitjen e producenteve per te siguruar fonde alternative ne europe e me gjere per te mundesuar produktin kinematografik,kjo mbeshtetje ekonomike  synon orjentimin e prodhimit kinematografik drejt integrimit ne tregun boteror.</t>
  </si>
  <si>
    <t>Integrimi I prodhimit kinematografik shqipetar drejt europes dhe me gjere ne bote .</t>
  </si>
  <si>
    <t>Treguesit e Performancës për Objektivin 1 Mbeshtetje efinanciare e veprimtarise Kinematografike</t>
  </si>
  <si>
    <t>Nr i spektatoreve</t>
  </si>
  <si>
    <t>Nr i shfaqjeve</t>
  </si>
  <si>
    <t>Produkti 1*Mbeshtetje e prodhimit kinematografik</t>
  </si>
  <si>
    <t xml:space="preserve">Kosto totale e produktit </t>
  </si>
  <si>
    <t xml:space="preserve">Mbeshtetje financiare nxitje e veprimtarise ekonomike ne Republiken e Shqiperise dhe perfaqsimin e kinemase dhqiptare ne bote </t>
  </si>
  <si>
    <t>Paisje zyre</t>
  </si>
  <si>
    <t>Paisje zyre :kompjutera, pritera, skaner dhe fotokopje per QKK</t>
  </si>
  <si>
    <t>Permiresimi i infrastruktures me qellim rritjen e cilësisë profesionale .</t>
  </si>
  <si>
    <t xml:space="preserve">Ne koston totale te produktit 1-Paisje Zyre eshte perllogaritur ne baze te kostos/njesi te miratuar nga AKSHI :                                                                                                                                                                          1- Kompjuter  2 Cope                                                                                                                                                           2- Printera 1 cope                                                                                                                                                                      3-   Fotokopje 1 cope                                                                                                                                                                                                </t>
  </si>
  <si>
    <t>Produkti 2 Mjete</t>
  </si>
  <si>
    <t>Mjet- autoveture</t>
  </si>
  <si>
    <t>Automjet ne funksion te aktivitetit qkk.</t>
  </si>
  <si>
    <r>
      <t xml:space="preserve">Detajimi i Kostos Totale të </t>
    </r>
    <r>
      <rPr>
        <b/>
        <sz val="11"/>
        <color rgb="FFFF0000"/>
        <rFont val="Garamond"/>
        <family val="1"/>
      </rPr>
      <t>Produktit 1- mbeshtetje financiare e prodhimtarise kinematografike</t>
    </r>
    <r>
      <rPr>
        <b/>
        <sz val="11"/>
        <color theme="1"/>
        <rFont val="Garamond"/>
        <family val="1"/>
      </rPr>
      <t>sipas Artikujve Ekonomikë</t>
    </r>
  </si>
  <si>
    <r>
      <t xml:space="preserve">Detajimi i Kostos Totale të </t>
    </r>
    <r>
      <rPr>
        <b/>
        <sz val="11"/>
        <color rgb="FFFF0000"/>
        <rFont val="Garamond"/>
        <family val="1"/>
      </rPr>
      <t xml:space="preserve">Produktit-Mjet- autoveture </t>
    </r>
    <r>
      <rPr>
        <b/>
        <sz val="11"/>
        <color theme="1"/>
        <rFont val="Garamond"/>
        <family val="1"/>
      </rPr>
      <t xml:space="preserve"> sipas Artikujve Ekonomikë</t>
    </r>
  </si>
  <si>
    <t>Shërbimi i Avokatisë</t>
  </si>
  <si>
    <t>1066001</t>
  </si>
  <si>
    <t>Fusha e veprimit kosiston në ofrimin e shërbimit ndaj indivitit në mënyrë të pavarur, të paanshëm, fleksibël dhe transparente.Funksioni  dhe misioni i Avokatit të Popullit është të shqyrtojë çështjet që lindin si pasojë e keqadministrimit në administratën publike. Instrumenti  i përditshëm është rekomandimi nëpërmjet të cilit synon ti zgjidhë problemet mbi baza ligjore. Zgjidhjet e arritura synojnë të sjellin përmirësime në standartet dhe cilësinë e shërbime të administratës publike ndaj qytetarëve.</t>
  </si>
  <si>
    <t>Ofrimi i shërbimt ndaj indivitit në mënyrë të pavarur, të paanshëm, fleksibël dhe transparent.</t>
  </si>
  <si>
    <t xml:space="preserve">Akreditimi si Institucion Kombëtar për të Drejtat e Njeriut, konformë Parime të Parisit, nga Aleanca Globale e Institucioneve Kombëtare për të Drejtat e Njeriut (GANHRI) </t>
  </si>
  <si>
    <t>Statusi A</t>
  </si>
  <si>
    <t xml:space="preserve">Zgjidhja e ankesave apo kërkesave të qytetarëve ndaj sjelljes,vendimeve apo mosveprimeve të parregullta e të paligjshme të administratës publike, si dhe rrugët dhe format që Avokati Popullit ndjek për t'ju ofruar shërbimin dhe rivendosur të drejtën e pretenduar ose shkelur qytetarit.
 </t>
  </si>
  <si>
    <t>Numri i rekomandimeve që kanë gjetur zbatim ndaj totalit</t>
  </si>
  <si>
    <t>Kërkesa të trajtuara</t>
  </si>
  <si>
    <t>Zgjidhja e ankesave apo kërkesave të qytetarëve ndaj sjelljes,vendimeve apo mosveprimeve të parregullta e të paligjshme të administratës publike</t>
  </si>
  <si>
    <t>Numri i kërkesave</t>
  </si>
  <si>
    <t>M660016</t>
  </si>
  <si>
    <t>Produkti 1 (shto produkte sipas rastit)</t>
  </si>
  <si>
    <t xml:space="preserve">Blerje e sistemit te kamerave </t>
  </si>
  <si>
    <t xml:space="preserve">Blerje kamera për sistemit e ruajtjes së institucionit </t>
  </si>
  <si>
    <t>numër</t>
  </si>
  <si>
    <t>*****</t>
  </si>
  <si>
    <t>Pajisje për nevojat e institucionit</t>
  </si>
  <si>
    <t>M660005</t>
  </si>
  <si>
    <t>Rikonstruksion i taraces dhe lyerje e institucionit</t>
  </si>
  <si>
    <t>metra katrore</t>
  </si>
  <si>
    <r>
      <t xml:space="preserve">Realizimi i mbikëqyrjes, inspektimit dhe zbatimit të ligjit për administrimin e shërbimit civil në të gjitha institucionet që punësojnë nëpunës civil, dhe evidentimi i shkeljeve, në bazë të të cilave Komisioneri ushtron vendimarrjen e tij në përputhje me Nenin 15 të ligjit Nr. 152/2013, </t>
    </r>
    <r>
      <rPr>
        <i/>
        <sz val="11"/>
        <color theme="1"/>
        <rFont val="Calibri"/>
        <family val="2"/>
        <charset val="238"/>
        <scheme val="minor"/>
      </rPr>
      <t>"Për nëpunësin civil"</t>
    </r>
    <r>
      <rPr>
        <sz val="11"/>
        <color theme="1"/>
        <rFont val="Calibri"/>
        <family val="2"/>
        <charset val="238"/>
        <scheme val="minor"/>
      </rPr>
      <t>, i ndryshuar. Menaxhimi me efektivitet dhe korrektësi i fondeve buxhetore të KMSHC-së.</t>
    </r>
  </si>
  <si>
    <t xml:space="preserve">Garantimi dhe respektimi i ligjit për shërbimin civil në institucionet qendrore, të pavarura dhe ato vendore. </t>
  </si>
  <si>
    <t>Numri i shkeljeve te konstatuara të ligjit të NC</t>
  </si>
  <si>
    <t>Trend renes</t>
  </si>
  <si>
    <t>Rritja e cilesise se funksionimit të shërbimit civil.</t>
  </si>
  <si>
    <t>Përqindja e rasteve të emërimeve të parregullta</t>
  </si>
  <si>
    <t>Përqindja/Niveli i zbatimit të vendimeve të Komisionerit</t>
  </si>
  <si>
    <t>Mbikeqyrje</t>
  </si>
  <si>
    <t>Mbikëqyrje  te kryera sipas planit vjetor</t>
  </si>
  <si>
    <t>Ne llogaritjen e tavanit: 3% inflacioni per 3 vite dhe rritja e sasise se numrit te mbikqyrjes 3.5%</t>
  </si>
  <si>
    <t>Inspektime kryesisht ne baze te informacioneve te ndryshme</t>
  </si>
  <si>
    <t>Inspektime kryesisht</t>
  </si>
  <si>
    <t>Mbështetje për Kultet fetare</t>
  </si>
  <si>
    <t>08480</t>
  </si>
  <si>
    <t>Në zbatim të politikës qeveritare në fushën e marrëdhënieve ndërmjet Shtetit dhe bashkësive fetare në Republikën e Shqipërisë, mbështet financiarisht bashkësitë fetare, për përmirësimin e infrastrukturës së tyre administrative, arsimore, shpirtërore e kulturore, si faktorë që kontribuojnë në ruajtjen e traditës, harmonisë dhe tolerancës fetare në vend.</t>
  </si>
  <si>
    <t>Garantimi i një mjedisi ku, çdo bashkësi fetare të shprehë dhe praktikojë lirisht të drejtën kushtetuese të besimit, nëpërmjet mbështetjes financiare nga shteti.</t>
  </si>
  <si>
    <t>Harmonia Fetare</t>
  </si>
  <si>
    <t>Trend në rritje</t>
  </si>
  <si>
    <t>Forcimi i harmonisë e bashkëjetesës fetare të trashëguar nëpërmjet përmirësimit të kushteve të veprimtarisë së tyre arsimore e shpirtërore, me anë të mbështetjes financiare  dhe hartimin e akteve ligjore dhe nënligjore për këtë qëllim.</t>
  </si>
  <si>
    <t>Forcimi i kontributit të bashkësive fetare në të mirë të shoqërisë</t>
  </si>
  <si>
    <t xml:space="preserve">Bashkësi fetare të financuara </t>
  </si>
  <si>
    <t>Financim i bashkësive fetare, për pagat e personelit të administratës, të arsimtarëve dhe mbështetje për rikonstruksionet e objekteve të kultit.</t>
  </si>
  <si>
    <t>Numri i bashkësive</t>
  </si>
  <si>
    <t>Ndryshimi në % i Aktiveve të Patrupëzuara si pasojë e ndryshimit të kostos së produktit</t>
  </si>
  <si>
    <t>Ndryshimi në % i Aktiveve të Patrupëzuara si pasojë e ndryshimit të sasisë së produktit</t>
  </si>
  <si>
    <t>Ndryshimi në % i Aktiveve të Trupëzuara si pasojë e ndryshimit të kostos së produktit</t>
  </si>
  <si>
    <t>Ndryshimi në % i Aktiveve të Trupëzuara si pasojë e ndryshimit të sasisë së produktit</t>
  </si>
  <si>
    <t>Shënim: Shpjegoni supozimet dhe llogaritjet për Produktin 1 (Metoda 2)**</t>
  </si>
  <si>
    <t>Produkti  2</t>
  </si>
  <si>
    <t xml:space="preserve">Harta dixhitale </t>
  </si>
  <si>
    <t xml:space="preserve">Hartë dixhitale e përpiluar nga mbledhja e të dhënave në terren, në sajë të evidentimit të objekteve të kultit.  </t>
  </si>
  <si>
    <t>Numër objektesh  kulti</t>
  </si>
  <si>
    <t xml:space="preserve">Dokument studimi dhe reflektimi </t>
  </si>
  <si>
    <t>Hartimi i një dokumenti reflektimi, bazuar në studimin e nivelit e marrëdhënieve mes aktorëve lokalë shtetërore dhe fetarë, të bashkëpunimit me tyre dhe mbi shkallën e zgjidhjes se problematikave, në të mirë të shoqërisë për të forcuar marrëdhëniet mes shtetit dhe fesë.</t>
  </si>
  <si>
    <t>Dokument</t>
  </si>
  <si>
    <t>Detajimi i Kostos Totale të Produktit X sipas Artikujve Ekonomikë</t>
  </si>
  <si>
    <t>Totali i shpenzimeve të Programit sipas produkteve***</t>
  </si>
  <si>
    <t>Totali i shpenzimeve të Programit sipas artikujve***</t>
  </si>
  <si>
    <r>
      <rPr>
        <b/>
        <sz val="11"/>
        <rFont val="Garamond"/>
        <family val="1"/>
      </rPr>
      <t>Produkti X</t>
    </r>
    <r>
      <rPr>
        <sz val="11"/>
        <rFont val="Garamond"/>
        <family val="1"/>
      </rPr>
      <t xml:space="preserve"> (shto produkte sipas rastit)</t>
    </r>
  </si>
  <si>
    <r>
      <t xml:space="preserve">Shënim: </t>
    </r>
    <r>
      <rPr>
        <i/>
        <sz val="11"/>
        <rFont val="Garamond"/>
        <family val="1"/>
      </rPr>
      <t>Shpjegoni supozimet dhe llogaritjet (Metoda 1)****</t>
    </r>
  </si>
  <si>
    <t>INSPEKTORATI QENDROR</t>
  </si>
  <si>
    <t>01150</t>
  </si>
  <si>
    <t>Mbikëqyrja dhe koordinimi i veprimtarisë të  të gjithë Inspektorave Shtetërore, sipas Ligjit Nr.10 433, Datë 16.06.2011</t>
  </si>
  <si>
    <t xml:space="preserve">Kryerja e inpektimeve on-line, nëpërmjet portalit “e-Inspektimi” , për të siguruar programimin e inspektimeve  bazuar mbi vlerësimin e riskut,  dokumentimin e veprimtarisë inspektuese konform ligjit për inspektimin dhe ligjeve sektoriale, duke bashkërenduar  veprimtarinë inspektuese ndërmjet inspektorateve shtetërore, në përmbushje të misionit të Inspektoratit Qendror, për të rritur efektivitetin dhe përgjegjshmërinë e veprimtarisë inspektuese. </t>
  </si>
  <si>
    <t>Numri I inspektimeve te realizuara online nga Inspektoratet shteterore</t>
  </si>
  <si>
    <t xml:space="preserve">Inspektoratet shteterore qe kryejne inspektime onlineqe </t>
  </si>
  <si>
    <t>Realizimi i inspektimit online, si nje proces i rregullt administrativo ligjor dhe transparent, duke udhehequr dhe koordinuar trupa inspektuese profesionale, duke i qenderzuar ne nje godine, duke ulur korrupsionin dhe barren administrative te biznesit</t>
  </si>
  <si>
    <t>Pajisje hardware per sistemimin online te inspekimit ( blerje tableta per inspektimin online, infrastrukture e sistemit elektronik)</t>
  </si>
  <si>
    <t>blerje tableta per inspektimin online gjithsej 1200 cop 600 cop -2018 dhe 600cop- 2019 , infrastrukture e sistemit elektronik- shtohen 8 servera)</t>
  </si>
  <si>
    <t>Mirembajtja optimale dhe cilesore e sistemit online e- inspektimi</t>
  </si>
  <si>
    <t>Mirembajtja e sistemit online e- inspektimi, kontrate sherbimi 4 vjecare</t>
  </si>
  <si>
    <t>sherbim mirembajtje</t>
  </si>
  <si>
    <t xml:space="preserve">Inplementimi I zgjerimeve te sistemit e- inspektimi per njohjen e tabletes si dhe nenshkrimi elektronik </t>
  </si>
  <si>
    <t>sherbim</t>
  </si>
  <si>
    <t>M870013</t>
  </si>
  <si>
    <t>Blerje pajisje informatike per Inspektoratin Qendror</t>
  </si>
  <si>
    <t>4 cope kamerave jashte godines dhe,  kompjutera per punonjesit e rinj fotokopje etj</t>
  </si>
  <si>
    <t>ne vleren 224 000/leke, eshte sistemi I kamereve te sigurise me 4 cope kamera. Ne vitin 2019 2020 dhe 2021 jane parashikuar te blihen kompjutera per punonjesit e rinj ,fotokopje dhe pajisje te tjera informatike</t>
  </si>
  <si>
    <t>M870141</t>
  </si>
  <si>
    <t>Rikonstruksion zyre te IQ</t>
  </si>
  <si>
    <t>rikonstruksion dhe pershtatje per ambjente zyrash te godines afer IQ per arsye  te ndertimit te nje godine te re per IQ dhe inspektoratet shteterore ne vend te godines ekzistuese</t>
  </si>
  <si>
    <t>pune me preventiv</t>
  </si>
  <si>
    <t>M870015</t>
  </si>
  <si>
    <t>Mobilim zyre</t>
  </si>
  <si>
    <t>Mobilimi I zyrave te godines se re</t>
  </si>
  <si>
    <t>M870082</t>
  </si>
  <si>
    <t>M870092</t>
  </si>
  <si>
    <t>Mirembajtja e sistemit online e- inspektimi, kontrate sherbimi 4 vjecare( 9450 vlera per I vit)</t>
  </si>
  <si>
    <r>
      <t>Detajimi i Kostos Totale të</t>
    </r>
    <r>
      <rPr>
        <b/>
        <sz val="11"/>
        <color rgb="FFFF0000"/>
        <rFont val="Garamond"/>
        <family val="1"/>
      </rPr>
      <t xml:space="preserve"> Produktit 3 </t>
    </r>
    <r>
      <rPr>
        <b/>
        <sz val="11"/>
        <color theme="1"/>
        <rFont val="Garamond"/>
        <family val="1"/>
      </rPr>
      <t>sipas Artikujve Ekonomikë</t>
    </r>
  </si>
  <si>
    <t>Shërbime të tjera</t>
  </si>
  <si>
    <t>Aktivitete në Drejtoria e Sigurimit të Informacionit të Klasifikuar (DSIK)</t>
  </si>
  <si>
    <t>Përmbushja e standardeve për sigurimin e informacionit të klasifikuar "sekret shtetëror", të shteteve e organizatave të tjera ndërkombëtare dhe kontrollit të zbatimit të tyre nga ministritë dhe institucionet shtetërore nëpërmjet përmirësimit të vazhdueshem të aftësive profesionale të stafit, administrimit eficent të burimeve njerëzore dhe financiare.</t>
  </si>
  <si>
    <t xml:space="preserve">Ndjekja e procedurave per iniciimin, negociimin e miratimin përfundimtar të marrëveshjeve ndërkombëtare në fushën e shkëmbimit dhe mbrojtjes reciproke të informacionit të klasifikuar me shtete e organizata ndërkombëtare.                                         </t>
  </si>
  <si>
    <t>Zbatimi i legjislacionit për traktatet dhe marrëveshjet ndërkombëtare në frymën e bashkëpunimit dhe interesit reciprok me vendet anëtare e partnere të NATO-s dhe BE.</t>
  </si>
  <si>
    <t>Marrëveshje ndërkombëtare në fushën e shkëmbimit dhe mbrojtjes reciproke të informacionit të klasifikuar me shtete e organizata ndërkombëtare.</t>
  </si>
  <si>
    <t>Numër i marrëveshjeve në proces.</t>
  </si>
  <si>
    <t xml:space="preserve">Mbikëqyrja e zbatimit të masave të sigurisë së informacionit të klasifikuar.          </t>
  </si>
  <si>
    <t xml:space="preserve">Inspektime në institucionet shtetërore dhe Operatorët Ekonomikë/Kontraktorët.  </t>
  </si>
  <si>
    <t>Inspektime në Ministritë, Institucionet Shtetërore, Operatorët Ekonomik.</t>
  </si>
  <si>
    <t xml:space="preserve">Mbikëqyrja dhe kontrolli i zbatimit të legjislacionit në fushën e informacionit të klasifikuar nga ministritë e institucionet e tjera shtetërore. </t>
  </si>
  <si>
    <t>Numër inspektimesh</t>
  </si>
  <si>
    <t>Inspektim tek Operatorët Ekonomikë/ Kontraktorët për sigurimin e informacionit të klasifikuar.</t>
  </si>
  <si>
    <t>Mbikqyrja dhe kontrolli i zbatimit te legjislacionit ne fushen e informacionit te klasifikuar nga Operatoret Ekonomike dhe Kontraktoret.</t>
  </si>
  <si>
    <t xml:space="preserve">Implementimi i masave të sigurisë së  informacionit të klasifikuar.           </t>
  </si>
  <si>
    <t>Lëshimi i Certifikatave të Sigurisë së Personelit (CSP)</t>
  </si>
  <si>
    <t>Sipas legjislacionit për  informacionin e klasifikuar.</t>
  </si>
  <si>
    <t>Numri i CSP për: a) Sekret Shteteror, b) NATO, c) BE.</t>
  </si>
  <si>
    <t>Lëshimi  i Certifikatave të Sigurisë Industriale (CSI)</t>
  </si>
  <si>
    <t>Ndjekja e procedurave për certifikimin  e operatorëve ekonomikë dhe personelin e tyre.</t>
  </si>
  <si>
    <t>Numri i CSI për operator ekonomik dhe CSP për personelin e operatorëve.</t>
  </si>
  <si>
    <t>Lëshimi  i Certifikatave të Sigurisë së Sistemeve (CSS)</t>
  </si>
  <si>
    <t>Ndjekja e procedurave për certifikimin e sigurisë së sistemeve në perputhje me legjislacionin në fuqi.</t>
  </si>
  <si>
    <t>Numër i CSS dhe CAS</t>
  </si>
  <si>
    <t xml:space="preserve">Edukimi i sigurisë </t>
  </si>
  <si>
    <t>Trajnime të ofruara nga DSIK</t>
  </si>
  <si>
    <t>Marrja e masave dhe organizimi i trajnimeve me qëllim rritjen e nivelit profesional të punonjësve të ministrive dhe institucioneve të tjera për administrimin e informacionit të klasifikuar "sekret shtetëror",  informacionin e klasifikuar të NATO-s, BE dhe shteteve e organizatave të tjera  ndërkombëtare.</t>
  </si>
  <si>
    <t>Numër punonjësish të trajnuar</t>
  </si>
  <si>
    <t>Trajnime të përfituara nga personeli i DSIK.</t>
  </si>
  <si>
    <t>Pjesëmarrje në trajnime, konferenca dhe ëorkshope të ndryshme brenda dhe jashtë vendit të nëpunësve të DSIK-së me qëllim rritjen e nivelit profesional, shkëmbimin e eksperiencave me homologët brenda dhe jashtë vendit.</t>
  </si>
  <si>
    <t>Numër punonjësish të trajnuar.</t>
  </si>
  <si>
    <t>Organizime e pjesëmarrje në  Konferenca, Workshope, etj.</t>
  </si>
  <si>
    <t>Organizuar në vendin tonë dhe pjesëmarrje në vende të tjera.</t>
  </si>
  <si>
    <t>Numër aktivitetesh.</t>
  </si>
  <si>
    <t>Kontrolli i figurës së subjekteve të rivlerësimit.</t>
  </si>
  <si>
    <t>Sipas nenit 34, të ligjit nr. 84/2016, "Për rivlerësimin kalimtar të gjyqtarëve dhe prokurorëve në RSH".</t>
  </si>
  <si>
    <t>Numër subjektesh të verifikuara.</t>
  </si>
  <si>
    <t xml:space="preserve">Investime në DSIK                 </t>
  </si>
  <si>
    <t>Blerje orendi zyre</t>
  </si>
  <si>
    <t>Orendi zyre</t>
  </si>
  <si>
    <t>Blerje te tjera pajisje zyre</t>
  </si>
  <si>
    <t>Blerje pajisje sigurie</t>
  </si>
  <si>
    <t xml:space="preserve">Produkti 4 </t>
  </si>
  <si>
    <t>Rikonstruksion, Perforcim solete</t>
  </si>
  <si>
    <t xml:space="preserve">Produkti 5 </t>
  </si>
  <si>
    <t>Blerje pajisje audio vizive per intervista</t>
  </si>
  <si>
    <t xml:space="preserve">Produkti 6 </t>
  </si>
  <si>
    <t>Fond i ngrirë</t>
  </si>
  <si>
    <t xml:space="preserve">Produkti 7 </t>
  </si>
  <si>
    <t>Zhvendosje ne ambjente zyrash te reja</t>
  </si>
  <si>
    <r>
      <rPr>
        <b/>
        <sz val="11"/>
        <color rgb="FFFF0000"/>
        <rFont val="Garamond"/>
        <family val="1"/>
      </rPr>
      <t>Produkti 3</t>
    </r>
    <r>
      <rPr>
        <sz val="11"/>
        <color theme="1"/>
        <rFont val="Garamond"/>
        <family val="1"/>
      </rPr>
      <t xml:space="preserve"> </t>
    </r>
  </si>
  <si>
    <r>
      <rPr>
        <b/>
        <sz val="11"/>
        <color theme="1"/>
        <rFont val="Garamond"/>
        <family val="1"/>
      </rPr>
      <t>Procesi i Vetting-ut, në kuadër të zbatimit të ligjit 84/2016 "Për rivlerësimin kalimtar të gjyqtarëve e prokurorëve". Kryerja e procedurave për verifikimin e aplikantëve.</t>
    </r>
    <r>
      <rPr>
        <sz val="11"/>
        <color theme="1"/>
        <rFont val="Garamond"/>
        <family val="1"/>
      </rPr>
      <t xml:space="preserve">                                                                                                                                                                                                                                                                                                                                                                                                                                                                  </t>
    </r>
  </si>
  <si>
    <r>
      <t xml:space="preserve">Kodi i Projektit të Investimeve </t>
    </r>
    <r>
      <rPr>
        <b/>
        <sz val="11"/>
        <color theme="1"/>
        <rFont val="Garamond"/>
        <family val="1"/>
      </rPr>
      <t>M870072</t>
    </r>
  </si>
  <si>
    <r>
      <t xml:space="preserve">Kodi i Projektit të Investimeve </t>
    </r>
    <r>
      <rPr>
        <b/>
        <sz val="11"/>
        <color theme="1"/>
        <rFont val="Garamond"/>
        <family val="1"/>
      </rPr>
      <t>M870029</t>
    </r>
  </si>
  <si>
    <r>
      <t xml:space="preserve">Kodi i Projektit të Investimeve </t>
    </r>
    <r>
      <rPr>
        <b/>
        <sz val="11"/>
        <color theme="1"/>
        <rFont val="Garamond"/>
        <family val="1"/>
      </rPr>
      <t>M870292</t>
    </r>
  </si>
  <si>
    <r>
      <t xml:space="preserve">Kodi i Projektit të Investimeve </t>
    </r>
    <r>
      <rPr>
        <b/>
        <sz val="11"/>
        <color theme="1"/>
        <rFont val="Garamond"/>
        <family val="1"/>
      </rPr>
      <t>M870257</t>
    </r>
  </si>
  <si>
    <r>
      <t xml:space="preserve">Kodi i Projektit të Investimeve </t>
    </r>
    <r>
      <rPr>
        <b/>
        <sz val="11"/>
        <color theme="1"/>
        <rFont val="Garamond"/>
        <family val="1"/>
      </rPr>
      <t>M870293</t>
    </r>
  </si>
  <si>
    <r>
      <t xml:space="preserve">Kodi i Projektit të Investimeve </t>
    </r>
    <r>
      <rPr>
        <b/>
        <sz val="11"/>
        <color theme="1"/>
        <rFont val="Garamond"/>
        <family val="1"/>
      </rPr>
      <t>M870013</t>
    </r>
  </si>
  <si>
    <r>
      <t xml:space="preserve">Detajimi i Kostos Totale të </t>
    </r>
    <r>
      <rPr>
        <b/>
        <sz val="11"/>
        <color rgb="FFFF0000"/>
        <rFont val="Garamond"/>
        <family val="1"/>
      </rPr>
      <t>Produktit 6</t>
    </r>
    <r>
      <rPr>
        <b/>
        <sz val="11"/>
        <color theme="1"/>
        <rFont val="Garamond"/>
        <family val="1"/>
      </rPr>
      <t xml:space="preserve"> sipas Artikujve Ekonomikë</t>
    </r>
  </si>
  <si>
    <r>
      <t xml:space="preserve">Detajimi i Kostos Totale të </t>
    </r>
    <r>
      <rPr>
        <b/>
        <sz val="11"/>
        <color rgb="FFFF0000"/>
        <rFont val="Garamond"/>
        <family val="1"/>
      </rPr>
      <t>Produktit 7</t>
    </r>
    <r>
      <rPr>
        <b/>
        <sz val="11"/>
        <color theme="1"/>
        <rFont val="Garamond"/>
        <family val="1"/>
      </rPr>
      <t xml:space="preserve"> sipas Artikujve Ekonomikë</t>
    </r>
  </si>
  <si>
    <t>Programi zhvillon politika dhe strategji për menaxhimin dhe zhvillimin e administratës publike. Ai synon: zhvillimin dhe menaxhimin e burimeve njerëzore, si dhe thellimin e reformës në shërbimin civil dhe zgjerimin e fushës së veprimit të këtij kuadri ligjor:  përcaktimin e standarteve të njëjta për nëpunësit civilë dhe punonjësit e tjerë të administratës publike, në kuptimin e rregullimit të marrëdhënieve të punës, pranimit në administratën publike, ecjën në karrierë, kualifikimin profesional të tyre: përcaktimin e standarteve të njëjta për ngritjen e institucioneve të administratës publike; ngritjen dhe fuqizimin e strukturave efektive për të gjitha institucionet e administratës publike; krijimin dhe zbatimin e politikave të pagave si dhe të gjitha skemave të tjera shpërblyese për të gjithë nëpunësit e administratës publike: trajnimin si mjet strategjik për zhvillimin e kapaciteteve të nëpunësve të administratës publike</t>
  </si>
  <si>
    <t>Kosto totale e produktit sipas artikujve</t>
  </si>
  <si>
    <t>Raporte për menaxhimin e burimeve njerëzore në sistemin e shërbimit civil</t>
  </si>
  <si>
    <t>Hartimi i raporteve sa i takon menaxhinmit të burimeve njerëzore në institucionet e shërbimit civil</t>
  </si>
  <si>
    <t>Raporte</t>
  </si>
  <si>
    <t>Evente informuese mbi procedurat e aplikimit në shërbimin civil</t>
  </si>
  <si>
    <t>Organizimi i panaireve dhe eventeve për promovimin e punës së departamentit</t>
  </si>
  <si>
    <t>Nr</t>
  </si>
  <si>
    <t>Raporte ne lidhje me monitorimin e zbatimit të Strategjisë Ndërsektoriale të Reformës së Administratës Publike</t>
  </si>
  <si>
    <t>Raportimi ne lidhje me monitorimin e zbatimit të Strategjisë Ndërsektoriale të Reformës së Administratës Publike</t>
  </si>
  <si>
    <t>Akte nënligjore në fushën e pagave</t>
  </si>
  <si>
    <t>Hartimi i akteve nënligjore në fushën e pagave për administratën qendrore dhe vendore.</t>
  </si>
  <si>
    <t>Akte nënligjore në fushën e burimeve njerëzore</t>
  </si>
  <si>
    <t>Prodhimi i akteve në fushën e menaxhimit të burimeve njerëzore me qëllim përmirësimin e kapaciteteve për zbatimin e legjislacionit të shërbimit civil</t>
  </si>
  <si>
    <t>Projekturdhëra të hartuara të Kryeministrit për miratimin e strukturave të institucioneve</t>
  </si>
  <si>
    <t>Trajnime të punonjësve për përdorimin e Sistemit Informatik të Menaxhimit të Burimeve Njerëzore</t>
  </si>
  <si>
    <t>Zgjerimi i ndërveprimit të sistemit HRMIS me të tjera baza të dhënash dhe sisteme të rëndësishme të institucioneve publike</t>
  </si>
  <si>
    <t>Formularë të administruar vetëdeklarimi dhe raporte në lidhje me zbatimin e Ligjit Nr. 138/2015 "Për garantimin e integritetit të personave që zgjidhen, emërohen ose ushtrojnë funksione publike”</t>
  </si>
  <si>
    <t>Administrimi i formularëve të vetëdeklarimit në zbatim të  Ligjit Nr. 138/2015 "Për garantimin e integritetit të personave që zgjidhen, emërohen ose ushtrojnë funksione publike”</t>
  </si>
  <si>
    <t xml:space="preserve">Perfaqësim në procese gjyqësore me Departamentin e Administratës Publike si palë dhe në komisione disiplinore </t>
  </si>
  <si>
    <t>Pjesëmarrja dhe mbikqyrja e procedurave të ndryshme administrative</t>
  </si>
  <si>
    <t>Pajisje të reja për zyrat e institucionit</t>
  </si>
  <si>
    <t>Blerja e pajisjeve të reja të zyrës për të përmbushur nevojat e institucionit</t>
  </si>
  <si>
    <t>M870290</t>
  </si>
  <si>
    <t>Rikonstruksion godine</t>
  </si>
  <si>
    <t>Rikonstruksioni i godinës së re të institucionit kaluar në administrim të Departamentit të Administratës Publike me VKM Nr. 704 date 1.12.2017 Per kalimin ne pergjegjesi administrimi, nga ish Ministria e Integrimit Evropian te Departamenti i Administrates Publike dhe Komisioni i Prokurimit Publik</t>
  </si>
  <si>
    <t xml:space="preserve">Sigurimi i menaxhimit efiçent dhe efektiv të burimeve njerëzore për Departamentin e Administratës Publike si dhe monitorimi i këtij menaxhimi në institucionet e administratës qendrore </t>
  </si>
  <si>
    <t>Zhvillimi i procedurave të pranimit në shërbimin civil, të lëvizjes paralele dhe ngritjes në detyrë në të gjitha fazat përbërëse të tyre.</t>
  </si>
  <si>
    <t>Nr procedurash</t>
  </si>
  <si>
    <t>Mbikqyrja e sistemit te  Prokurimit publik, konçesioneve/PPP dhe ankandeve me qellim sigurimin  e eficences maksimale, dhe administrim, mirembatje, permiresim i vazhdueshem i sistemit te prokurimit elektronik.</t>
  </si>
  <si>
    <t>Mirëmbajtje e Sistemit te Prokurimit Elektronik</t>
  </si>
  <si>
    <t>Mirembajtja e Sistemit te Prokurimit Elektronik, ne cdo komponent te tij, me qellim sigurimin e vazhdimesise se punes ne mbi 99.95% ne te gjithe komponentet dhe sherbimet e ofruara nga ky sistem. Mirembajtja e komponenteve kryesore te Sistemit te Prokurimit Elektronik, si Software Aplikativ – Sistemi i Prokurimit Elektronik dhe Infrastruktura e Sistemit, e cila perfshin pajisjet Hardware (Servera dhe SAN Storage), Networking, Sistemet Operative (Windows Server), Infrastrukturen logjike (WebAssembler Framework) dhe Sistemin e Manaxhimit te Bazes se te Dhenave.</t>
  </si>
  <si>
    <t>muaj</t>
  </si>
  <si>
    <t>Koordinim, verifikim, monitorim</t>
  </si>
  <si>
    <t>Dhënia e asistencës paraprake autoriteteve kontraktore, në drejtim të hartimit të dokumentave të tenderit, në funksion të mirëzbatimit të legjislacionit të prokurimit publik. Verifikimi i zbatimit të ligjshmërisë në procedurat e prokurimit, pas fazës së nënshkrimit të kontratës, me qëllim nxjerrjen e përgjegjësive dhe dhënien e rekomandimeve për përmirësimin e situatës në të ardhmen. Monitorimi i zbatimit të kontratave, si një element i rëndësishëm në mirëpërdorimin e fondeve publike.</t>
  </si>
  <si>
    <t>numer procedurash/kontratash</t>
  </si>
  <si>
    <t>Blerje  Hardware per Sistemin e Prokurimit Elektronik dhe Sistemin e Arkives, dhe pwrmirwsim i sherbimeve funksionale te IT.</t>
  </si>
  <si>
    <t>Blerje hardware per rritjen e performances dhe rritjen e hapesirave te sistemit te prokurimit elektronik dhe te sistemit te Arkives. Gjithashtu, blerje tape per sistemin e back-up.Blerje paisje kompjuterike pwr punonjwsit.</t>
  </si>
  <si>
    <t>Permiresim i sherbimeve funksionale te IT dhe kushteve te punes per punonjesit</t>
  </si>
  <si>
    <t xml:space="preserve">Blerje paisje kompjuterike dhe paisje te tjera zyre per permiresimin e ambjenteve te punes dhe sigurim I sherbimeve tjera, në mënyrë që të sigurohet krijimi i kushteve sa me te mira per punonjesit e APP nepermjet permiresimit te ambjenteve te punes. Krijimi i kushteve sa me te mira per punonjesit e APP-se nepermjet sigurimit te materialeve kompjuterike te nevojshme,sigurimit te sherbimeve </t>
  </si>
  <si>
    <r>
      <rPr>
        <b/>
        <sz val="11"/>
        <color rgb="FFFF0000"/>
        <rFont val="Garamond"/>
        <family val="1"/>
      </rPr>
      <t>Produkti 2</t>
    </r>
    <r>
      <rPr>
        <sz val="11"/>
        <color theme="1"/>
        <rFont val="Garamond"/>
        <family val="1"/>
      </rPr>
      <t xml:space="preserve"> (shto produkte sipas rastit)</t>
    </r>
  </si>
  <si>
    <t>1087026</t>
  </si>
  <si>
    <t xml:space="preserve">Auditimi me përgjegjësi i zbatimit të dispozitave ligjore nga subjektet që perfitojne fonde nga BE per Programet IPA dhe IPARD , i zbatimit të dispozitave ligjore nga Audituesit e Agjencise. 
</t>
  </si>
  <si>
    <t>Kryerja e veprimtarisë audituese me qëllim verifikimin e plotësisë, saktësisë dhe vërtetësisë së raporteve dhe pasqyrave/deklaratave financiare vjetore, si dhe të llogarive vjetore që mbështetin këto pasqyra/deklarata . 
Funksionimit efektiv të sistemeve të menaxhimit, kontrollit e të mbikëqyrjes. Ligjshmërisë dhe rregullsisë së transaksioneve përkatëse; Harton dhe paraqet strategjitë e auditimit, raportet vjetore të aktivitetit të auditimit dhe opinionet vjetore të auditimit pranë Komisionit Europian dhe Këshillit të Ministrave, duke informuar njëkohësisht institucionet dhe organet kompetente, në përputhje me këtë ligj dhe rregulloret e Bashkimit Europian
Evidentimit të shkeljeve dhe zbatimit të sanksioneve.</t>
  </si>
  <si>
    <t xml:space="preserve">Emërtimi i Treguesit 1                                   Norma e uljes së pasaktesive dhe pavertetesi së raporteve dhe pasqyrave/deklaratave financiare vjetore, si dhe të llogarive vjetore që mbështetin këto pasqyra/deklarata . </t>
  </si>
  <si>
    <t>Emërtimi i Treguesit 2                                 Funksionimit efektiv të sistemeve të menaxhimit, kontrollit e të mbikëqyrjes.</t>
  </si>
  <si>
    <t>Emërtimi i Treguesit 3                                     Ulja e paligjshmërisë dhe parregullsisë së transaksioneve përkatëse</t>
  </si>
  <si>
    <t>Përputhshmëria e sistemit të menaxhimit dhe kontrollit me Marrëveshjen kuadër dhe cdo Marreveshje tjetër të lidhur ndermjet Komisionit Europian dhe Republikës së Shqipërisë në kuadër të programit IPA</t>
  </si>
  <si>
    <t>Emërtimi i Treguesit 1                                   Norma e uljes së veprimeve që bien ndesh me dispozitat e vendosura në Marrëveshjen kuadër dhe cdo dipozite tjeter ligjore ne fuqi , qe percakoton dhenien dhe perdorimin e fondeve te programit IPA</t>
  </si>
  <si>
    <t>Emërtimi i Treguesit 2                                   Norma e permiresimit te eficenses ne evidentimin e paligjshmërisë dhe parregullsisë së transaksioneve</t>
  </si>
  <si>
    <t>AUDITIM , EVIDENTIM</t>
  </si>
  <si>
    <t xml:space="preserve"> "Auditim , evidentim te veprimeve të kunderligjshme , në procedurat për shperndarjen e fondeve nga institucionet perkatese dhe perdorimin e fondeve të programit IPA , nga subjektet perfituese .</t>
  </si>
  <si>
    <t>Raporte Auditimi</t>
  </si>
  <si>
    <t>Blerje pajisje zyre dhe pajisje elektronike</t>
  </si>
  <si>
    <t>Raport Auditimi</t>
  </si>
  <si>
    <t>Përputhshmëria e sistemit të menaxhimit dhe kontrollit me Marrëveshjen kuadër dhe cdo Marreveshje tjetër të lidhur ndermjet Komisionit Europian dhe Republikës së Shqipërisë në kuadër të programit IPARD</t>
  </si>
  <si>
    <t>Emërtimi i Treguesit 1                                   Norma e uljes së veprimeve që bien ndesh me dispozitat e vendosura në Marrëveshjen kuadër dhe cdo dipozite tjeter ligjore ne fuqi , qe percakoton dhenien dhe perdorimin e fondeve te programit IPARD</t>
  </si>
  <si>
    <t xml:space="preserve">RAPORTE AUDITIM </t>
  </si>
  <si>
    <t>Raporte auditimi</t>
  </si>
  <si>
    <t xml:space="preserve"> "Auditim , evidentim te veprimeve të kunderligjshme , në procedurat për shperndarjen e fondeve nga institucionet perkatese dhe perdorimin e fondeve të programit IPARD , nga subjektet perfituese .</t>
  </si>
  <si>
    <r>
      <t xml:space="preserve">Objektivi 1 </t>
    </r>
    <r>
      <rPr>
        <b/>
        <sz val="11"/>
        <rFont val="Garamond"/>
        <family val="1"/>
      </rPr>
      <t>i Politikës së Programit</t>
    </r>
  </si>
  <si>
    <r>
      <t>Ndryshimi në % i Pagave si pasojë e ndryshimit të sasisë së produktit</t>
    </r>
    <r>
      <rPr>
        <b/>
        <i/>
        <sz val="11"/>
        <color indexed="10"/>
        <rFont val="Garamond"/>
        <family val="1"/>
      </rPr>
      <t>**</t>
    </r>
  </si>
  <si>
    <r>
      <t>Ndryshimi në % i Sigurimeve Shoqërore dhe Shendetësore si pasojë e ndryshimit të sasisë së produktit</t>
    </r>
    <r>
      <rPr>
        <b/>
        <i/>
        <sz val="11"/>
        <color indexed="10"/>
        <rFont val="Garamond"/>
        <family val="1"/>
      </rPr>
      <t>**</t>
    </r>
  </si>
  <si>
    <r>
      <t>Ndryshimi në % i Mallrave dhe Shërbimeve si pasojë e ndryshimit të sasisë së produktit</t>
    </r>
    <r>
      <rPr>
        <b/>
        <i/>
        <sz val="11"/>
        <color indexed="10"/>
        <rFont val="Garamond"/>
        <family val="1"/>
      </rPr>
      <t>**</t>
    </r>
  </si>
  <si>
    <r>
      <t>Ndryshimi në % i Subvencioneve si pasojë e ndryshimit të sasisë së produktit</t>
    </r>
    <r>
      <rPr>
        <b/>
        <i/>
        <sz val="11"/>
        <color indexed="10"/>
        <rFont val="Garamond"/>
        <family val="1"/>
      </rPr>
      <t>**</t>
    </r>
  </si>
  <si>
    <r>
      <t>Ndryshimi në % i Transfertave të brendshme si pasojë e ndryshimit të sasisë së produktit</t>
    </r>
    <r>
      <rPr>
        <b/>
        <i/>
        <sz val="11"/>
        <color indexed="10"/>
        <rFont val="Garamond"/>
        <family val="1"/>
      </rPr>
      <t>**</t>
    </r>
  </si>
  <si>
    <r>
      <t>Ndryshimi në % i Transfertave të jashtme si pasojë e ndryshimit të sasisë së produktit</t>
    </r>
    <r>
      <rPr>
        <b/>
        <i/>
        <sz val="11"/>
        <color indexed="10"/>
        <rFont val="Garamond"/>
        <family val="1"/>
      </rPr>
      <t>**</t>
    </r>
  </si>
  <si>
    <r>
      <t>Ndryshimi në % i Transfertave për familjet dhe individët si pasojë e ndryshimit të sasisë së produktit</t>
    </r>
    <r>
      <rPr>
        <b/>
        <i/>
        <sz val="11"/>
        <color indexed="10"/>
        <rFont val="Garamond"/>
        <family val="1"/>
      </rPr>
      <t>**</t>
    </r>
  </si>
  <si>
    <r>
      <t>Shënim: Shpjegoni supozimet dhe llogaritjet për Produktin 1 (Metoda 2)</t>
    </r>
    <r>
      <rPr>
        <b/>
        <sz val="11"/>
        <color indexed="10"/>
        <rFont val="Garamond"/>
        <family val="1"/>
      </rPr>
      <t>***</t>
    </r>
  </si>
  <si>
    <r>
      <rPr>
        <b/>
        <sz val="11"/>
        <color indexed="10"/>
        <rFont val="Garamond"/>
        <family val="1"/>
      </rPr>
      <t xml:space="preserve">Objektivi 2 </t>
    </r>
    <r>
      <rPr>
        <b/>
        <sz val="11"/>
        <color indexed="8"/>
        <rFont val="Garamond"/>
        <family val="1"/>
      </rPr>
      <t>i Politikës së Programit</t>
    </r>
  </si>
  <si>
    <r>
      <t xml:space="preserve">Shënim: </t>
    </r>
    <r>
      <rPr>
        <i/>
        <sz val="11"/>
        <color indexed="8"/>
        <rFont val="Garamond"/>
        <family val="1"/>
      </rPr>
      <t>Shpjegoni supozimet dhe llogaritjet (Metoda 1)</t>
    </r>
  </si>
  <si>
    <t>Menaxhimi dhe Zhvillimi I Administrates Publike</t>
  </si>
  <si>
    <t>01330</t>
  </si>
  <si>
    <t xml:space="preserve">Ky program është pjesë e reformës së ndërmarë nga Qeveria që ka si synim të shtojë dhe promovojë shërbimet e ofruara dixhitale dhe elektronike si dhe nëpërmjet Qendrave të Integruara të Ofrimt të Shërbimeve Publike me në fokus qytetarin dhe biznesin. Objektivat e programit janë të shumëfishta dhe përfshijnë: bashkërendimin e çdo iniciative për ri-inxhinierimin, deregulimin dhe ju referuar standarteve koherente që në produkt final do të sjellin rritjen e eficencës, transparencës në llogaridhënie të administratës publike, rritjes së kapaciteteve njerëzore në fushën e shërbimeve, si dhe uljen e korrupsionit. </t>
  </si>
  <si>
    <t xml:space="preserve">Implementimi i rregullave për ofrimin e shërbimeve publike nga institucionet publike për personat që banojnë dhe/ose ushtrojnë aktivitetin e tyre në Republikën e Shqipërisë përmes heqjes së pengesave administrative dhe ofrimit të tyre në një kohë sa më të shkurtër. </t>
  </si>
  <si>
    <t>Numri i shërbimeve të ri-inxhinieruara.</t>
  </si>
  <si>
    <t>Rritja e numrit të institucioneve dhe shërbimeve të ofruara nga Qendrat e Integruara</t>
  </si>
  <si>
    <t>Rritja e kënaqësisë së qytetarëve në marrjen e shërbimeve në sportelet ADISA</t>
  </si>
  <si>
    <t>Deregulimi i procesit të ofrimit të shërbimeve publike (nr. Ministrie)</t>
  </si>
  <si>
    <t>Shërbime publike të përmirësuara, të aksesueshme dhe të integruara, duke përmirësuar efektivitetin e ofrimit të tyre.</t>
  </si>
  <si>
    <t>Rritja e numrit të Qendrave/Njësive të ofrimit të shërbimeve publike të integruara</t>
  </si>
  <si>
    <t xml:space="preserve">Numri i formularëve të aplikimit, të standartizuar për shërbimet publike </t>
  </si>
  <si>
    <t>Shkurtimi i kohës së shërbimit në sportelet pritëse.</t>
  </si>
  <si>
    <t xml:space="preserve">Koha e shërbimit e shkurtuar </t>
  </si>
  <si>
    <t>Konsiston në ngritjen, monitorimin dhe përmirësimin cilësisht të shërbimeve ndaj qytetarëve.</t>
  </si>
  <si>
    <t>Numër shërbimesh për njësi kohe.</t>
  </si>
  <si>
    <t>M870294</t>
  </si>
  <si>
    <t>TVSH-Mbështetje për përmirësimin e ofrimit të shërbimit publik me në qendër qytetarin</t>
  </si>
  <si>
    <t>Asistenca në përmirësimin e shërbimeve publike, përmirësimi i kuadrit ligjor dhe jo vetëm.</t>
  </si>
  <si>
    <t>Pagesa e kostos lokale (TVSH)</t>
  </si>
  <si>
    <t>Kontrata</t>
  </si>
  <si>
    <t>Referuar kontratës midis palëve është përllogaritur TVSH.</t>
  </si>
  <si>
    <t>M87013</t>
  </si>
  <si>
    <t>Blerje paisje TIK</t>
  </si>
  <si>
    <t xml:space="preserve">Paisje </t>
  </si>
  <si>
    <t>Blerje paisje TIK për nevoajt e institucionit</t>
  </si>
  <si>
    <t xml:space="preserve">Ngritja e Qendrave të Integruara të Shërbimeve Publike </t>
  </si>
  <si>
    <t>Qendra e integruar funksionale</t>
  </si>
  <si>
    <t>Godinë/Shërbim për publikun</t>
  </si>
  <si>
    <t>Krijimi  i Qendrave të Integruar të Shërbimeve Publike levizese</t>
  </si>
  <si>
    <t>Qendra e integruar levizese</t>
  </si>
  <si>
    <t>Njesi/Shërbim për publikun</t>
  </si>
  <si>
    <t>Studim tregu.</t>
  </si>
  <si>
    <t>Sherbime te tjera</t>
  </si>
  <si>
    <t>1150</t>
  </si>
  <si>
    <t>Institucioni Agjencia e Zhvillimit Te Territorit ka ne programin e vet pranimin, pregatitjen dhe  administrimin e dokumentave te aplikuesve per leje ndertimi  per shqyrtim nga Keshilli Kombetar i Territorit.</t>
  </si>
  <si>
    <t>Pranimi i aplikimeve dhe dhenia e nje pergjigjeje pozitive ose negative brenda 5 diteve pune nga marrja e aplikimit nga Institucioni</t>
  </si>
  <si>
    <t>Nr I aplikimeve te pranuara dhe shqyrtuara te cilat kane marre nje pergjigje. (AZHT-ja pranon dhe shqyrton dokumentacionin per ceshtje te formes brenda 5 diteve pune nga marrja e tij ne dorezim si dhe njofton aplikantin per pranimin apo mospranimin e kerkeses.)</t>
  </si>
  <si>
    <t xml:space="preserve">Shqyrtimi I dosjeve aplikante per leje ndertimi </t>
  </si>
  <si>
    <t>Shqyrtimi I te gjitha  aplikimeve qe Institucioni merr ne dorezim dhe kthimi I pergjigjes brenda afateve kohore.</t>
  </si>
  <si>
    <t>Dosje te kaluara per shqyrtim ne KKT</t>
  </si>
  <si>
    <t xml:space="preserve">Mbasi Institucioni merr aplikimin dhe pregatit dokumentacionin perkates ceshtja kalon per shqyrtim dhe aprovim te Keshilli  Kombetar I Territorit </t>
  </si>
  <si>
    <t>Sasia (Nr I dosjeve te kaluara per shqyrtim ne KKT)</t>
  </si>
  <si>
    <t>Nr dosjesh</t>
  </si>
  <si>
    <t>e-Qeverisja</t>
  </si>
  <si>
    <t>01140</t>
  </si>
  <si>
    <t>Garanton sigurinë për shërbimet e besuara, në veçanti për garantimin e besueshmërisë dhe sigurisë në transaksionet elektronike ndërmjet qytetarëve, biznesit dhe autoriteteve publike, duke rritur efektivitetin e shërbimeve publike e private dhe tregtisë elektronike si dhe përcakton standardet minimale teknike për sigurinë e të dhënave dhe rrjeteve/sistemeve kompjuterike të shoqërisë së informacionit, në përputhje me standardet ndërkombëtare në këtë fushë, me qellim krijimin e nje mjedisi te sigurt elektronik</t>
  </si>
  <si>
    <t xml:space="preserve">"Krijimi i mekanizmave funksionale per rritjen e nivelit te sigurise kibernetike"  </t>
  </si>
  <si>
    <t>Hartimi i Akteve Ligjore dhe Nenligjore</t>
  </si>
  <si>
    <t>Numer Aktesh</t>
  </si>
  <si>
    <t>Blerje pajisjesh  kompjuterike</t>
  </si>
  <si>
    <t>Krijimi i kushteve specifike të punës për stafin e AKCESK, në lidhje me teknikalitetet për prodhimin e informacionit të klasifikuar, me qëllim realizimin dhe përmbushjen e detyrave funksionale te tij.</t>
  </si>
  <si>
    <t>Nr. Pajisjesh</t>
  </si>
  <si>
    <t>M870023</t>
  </si>
  <si>
    <t>Mobilim zyre ( kushte specifike të punës për ngritjen e hapesirës fizike të sigurt për informacionin e klasifikuar)</t>
  </si>
  <si>
    <t>M870300</t>
  </si>
  <si>
    <t>penetration Test</t>
  </si>
  <si>
    <t>Të identifikohen dobësite e rrjetit/sistemit sipas shkalles se rrezikut qe perfaqesojne.</t>
  </si>
  <si>
    <t>Sistem</t>
  </si>
  <si>
    <t>M870301</t>
  </si>
  <si>
    <t>Permiresimi per funksionimin e automatizuar te portal per bllokimin e faqeve te internetit me permbajtje te paligjshme</t>
  </si>
  <si>
    <t>Te lehtesoje komunikimin midis institucioneve publike ne lidhje me bllokimin e faqeve me permbajtje te paligjshme dhe /ose te demshme me ofruesit e sherbimit te internetit ne vend.</t>
  </si>
  <si>
    <t>Nr. Portali</t>
  </si>
  <si>
    <t>Lek</t>
  </si>
  <si>
    <t>Sistemi I raportimit te ngjarjeve per thyerjen e sigurise ne sistemet IT</t>
  </si>
  <si>
    <t xml:space="preserve">nderveprimi i infrastrukturave kritike dhe te rendesishme te informacionit, per te trajtuar dhe zgjidhur ne kohe reale incidentet e mundshme kibernetike. </t>
  </si>
  <si>
    <t>Menaxhimi dhe Zhvillimi I Administrates Publike(Shkolla Shqiptare e Administrates Publike)</t>
  </si>
  <si>
    <t>87</t>
  </si>
  <si>
    <t>Ndërtimi dhe konsolidimi i një administrate publike, efektive, inovative, të përgjegjshme,  sipas standardeve europiane,  në shërbim të qytetarëve duke ofruar  formimin profesional të nëpunësve civilë, si dhe çdo individi tjetër vendas ose të huaj, që nuk është pjesë e shërbimit civil dhe që plotëson kriteret e kërkuara</t>
  </si>
  <si>
    <t>Forcimi i vazhdueshëm i ASPA si ofrues i trajnimeve për shërbimin civil dhe kryerjen e studimeve dhe hulumtimeve në fushën e administratës publike</t>
  </si>
  <si>
    <t xml:space="preserve">Numer  grupesh që marrin shërbimin (usergroups) dhe/ose focusgroup me qëllim që të japin feedback për cilësinë dhe përshtatshmërinë e shërbimit të ofruar nga ASPA. </t>
  </si>
  <si>
    <t xml:space="preserve">Numri I formulareve per Përmirësimi i sistemit të feedback-ut në përgjithësi me qëllim që të sigurohen të dhëna të mjaftueshme dhe informacion i disponueshëm në lidhje me impaktin e trajnimit. </t>
  </si>
  <si>
    <t xml:space="preserve">Numer modulesh te përditësuara dhe zhvillimi i një serie njësish dhe programi aktivitetesh që pasqyrojnë ndryshimin e kërkesave dhe nevojave . </t>
  </si>
  <si>
    <t xml:space="preserve">Trajnimi I detyrueshem ne periudhen e proves per nepunesit civil </t>
  </si>
  <si>
    <t xml:space="preserve">Numer punonjesish ne periudhe prove te trajnuar </t>
  </si>
  <si>
    <t xml:space="preserve">Produktet për Objektivin 1-Numer punonjesish ne periudhe prove te trajnuar </t>
  </si>
  <si>
    <t xml:space="preserve">Punonjes te trajnuar </t>
  </si>
  <si>
    <t>Punonjes</t>
  </si>
  <si>
    <t>Numer aktivitetesh per akeditim</t>
  </si>
  <si>
    <t xml:space="preserve">Aktivitete </t>
  </si>
  <si>
    <t xml:space="preserve">cope </t>
  </si>
  <si>
    <t>Blerje pajisje IT</t>
  </si>
  <si>
    <t>Trajnimi dhe formimi profesional I vazhdueshem per NC ne nivel te qeverisjes qendrore dhe vendore</t>
  </si>
  <si>
    <t xml:space="preserve">Numer nepunesish civil  ne nivel qendror dhe vendor te trajnuar </t>
  </si>
  <si>
    <t>Nepunes TND te trajnuar</t>
  </si>
  <si>
    <t xml:space="preserve">Numer punonjesish te trajnuar ne nivel vendor dhe qendror </t>
  </si>
  <si>
    <t xml:space="preserve">Nepunes TND te trajnuar </t>
  </si>
  <si>
    <t xml:space="preserve">Nepunes </t>
  </si>
  <si>
    <t>E-Qeverisja</t>
  </si>
  <si>
    <t>Programi i implementimit të NSDI-si në Shqipëri është përgjegjësi e ASIG-ut, duke konsideruar gjithashtu fushën e përgjegjësisë së aktorëve të tjerë lidhur me mbledhjen, procesimin, ruajtjen, shpërndarjen dhe përditësimin e të dhënave gjeohapësinore, që aktualisht janë të administruara nga shumë institucione të ndryshme. Bazuar në qëllimin kryesor të ASIG-ut në ngritjen e përhershme të infrastrukturës kombëtare e të dhënave gjeohapësinore në të njëjtën linjë më infrastrukturën e Bashkimit Europian (BE), me synim ngritjen e  mekanizmave të bashkëpunimit me institucionet dhe organizatat e përfshira në mbledhjen, mirëmbajtjen dhe shpërndarjen e informacionit gjeohapësinor, si dhe në monitorimin dhe rregullimin/përshtatjen e punës sipas kërkesave të përdoruesve kryesorë, grupeve dhe qytetarëve.Përgjegjësia kryesore e ASIG-ut është koordinimi i punës për të garantuar ofrimin e informacionit i cili është i plotë, i saktë, i përditësuar dhe lehtësisht i aksesueshëm për të gjithë grupet e interesuara. Puna e ASIG-ut konsiston në hartim politikash &amp; vendimmarrje (rregullator dhe certifikues), manaxherial, rekomandues, propozues.</t>
  </si>
  <si>
    <t>“Projektimi, Ndërtimi, Operimi, Mirëmbajtja dhe Përmirësimi i një sistemi gjeohapësinor funksional e të integruar (NSDI), i cili do të prodhojë informacion dhe njohuri gjeohapësinore, në përputhje me standardet e BE / INSPIRE”</t>
  </si>
  <si>
    <t>Numri i përdoruesve të Gjeoportalit Kombëtar</t>
  </si>
  <si>
    <t xml:space="preserve">Shërbime online për të dhënat gjeohapësinore </t>
  </si>
  <si>
    <t>Grupe të dhenash të standartizuara</t>
  </si>
  <si>
    <t>Projektimi, ndërtimi, mirëmbajtja dhe përditësimin e Kornizës Referuese Gjeodezike.</t>
  </si>
  <si>
    <t>Krijimi I rrjetit Kombetar Gjeodezik të Republikës së Shqipërisë.</t>
  </si>
  <si>
    <t>Ndërtimi i Rrjetit Kombëtar Gjeodezik Shqiptar (KRGJSH)</t>
  </si>
  <si>
    <t>Ndërtimi i sistemit të rrjeteve gjeodezike të rrjeteve aktiv dhe pasiv (Rendi I Parë dhe Rendi II), ndërtimi i rrjeteve të nivelimit, rrjete gravametrike, magnometrike dhe marografike. Gjthsej 4500 pika nga këto 500 pika të fiksuara në terren në blloqe betoni dhe matja e tyre.</t>
  </si>
  <si>
    <t>Nr. i pikave dhe nr. Km linear</t>
  </si>
  <si>
    <t>M870302</t>
  </si>
  <si>
    <t>Ndërtimi i sistemit të rrjeteve gjeodezike të rrjeteve aktiv dhe pasiv (Rendi i Parë dhe Rendi II), ndërtimi i rrjeteve të nivelimit, rrjete gravametrike, magnometrike dhe marografike. Gjthsej 4500 pika nga këto 500 pika të fiksuara në terren në blloqe betoni dhe matja e tyre.</t>
  </si>
  <si>
    <t>Nr. i pikave dhe nr. km linear</t>
  </si>
  <si>
    <t>Projektimi, ndërtimi, mirëmbajtja dhe përditësimin i Gjeoportalit dhe GIS-it Kombëtar (Ndërtim i sistemit të integruar të gjeoinformacionit, që nënkupton përcaktimin e funksioneve, organizimin strukturor dhe ndërveprimet midis tyre).</t>
  </si>
  <si>
    <t>Ndërtimi i GIS-it Kombëtar</t>
  </si>
  <si>
    <t>Rritja e Infrastrukturës hardware dhe software</t>
  </si>
  <si>
    <t>GIS-i Kombëtar dhe Gjeoportali Kombëtar</t>
  </si>
  <si>
    <t xml:space="preserve">Realizimi i “Infrastrukturës Kombëtare të të Dhënave Gjeohapësinore në Shqipëri -NSDI”, për të cilën ASIG është përgjegjëse në bazë të ligjit 72/2012, përfshin të gjitha sistemet ndërvepruese të informacionit gjeohapësinor që kanë shtrirje kombëtare dhe që ndërtohen nga institucione të ndryshme, për tema të veçanta, sipas fushës së përgjegjësisë dhe bazuar në standardet evropiane të Direktivës INSPIRE. Po sipas kësaj direktive të gjithë informacione dhe sisteme GIS  duhet të nërlidhen nëprmjet një Gjeoportali i cili është ndërtuar dhe administrohet  nga ASIG  (linku http://geoportal.asig.gov.al/) 
Gjeoportali Kombëtar është  një hallkë kryesore në krijimin e Infrastrukturës  Kombëtare të Gjeoinformacionit  të qëndrueshme dhe efektive. Përdoruesit mund të aksesojnë informacione për sa i takon tematikave të ndryshme gjeohapësinore të cilat do ti shërbejnë në radhë të parë institucioneve shtetërore, qendrore dhe vendore por edhe qytetarit të thjeshtë   në  proceset e  Informacionit, Analizës, Vendimmarrjes dhe të Transparencës. Ndërtimi i Gjeoportalit Kombëtar është financuar nga Donacioni i Qeverisë Norvegjeze 2014-2017. Por për të patur nje një informacion të saktë, të plotë, të ndërveprueshëm dhe të azhornuar eshtë thelbësore dhe ndërtimit i GIS Kombëtar  i cili do jetë sistemi i cili do te krijoj dhe të harmonizoj Gjeoinformacion sipas standarteve te permendura më sipër. GIS  Kombëtar është një sistem kompleks ku përfshihen implementi i  standarteve të Direktivës Europiane për Gjeoinformacioni INSPIRE, Software , Hardwere, rritje të kapaciteve teknike në autoritet publike ejt.  
</t>
  </si>
  <si>
    <t>M870018</t>
  </si>
  <si>
    <t>Blerje pajisje zyre dhe elektronike</t>
  </si>
  <si>
    <t>Pajisje</t>
  </si>
  <si>
    <t>Blerje pajisje zyre dhe elektronike të cilat kanë arritur fazën e amortizimit apo që duhet të zëvendësohen.</t>
  </si>
  <si>
    <t>M870303, M870251</t>
  </si>
  <si>
    <t>Ndërtimi I GIS- Kombëtar</t>
  </si>
  <si>
    <t>GIS- Kombëtar</t>
  </si>
  <si>
    <t xml:space="preserve">ASIG është duke ndërtuar Infrastrukturën Kombëtare të të Dhënave Gjeohapësinore në nivel kombëtar në konfromitet me standartet përcaktuara nga Direktiva e Bashkimit Europian INSPIRE.
Në këto kushte në funksion të realizimit të detyrave të tij funksionale ASIG duhet të ndërmarrë hapat e nevojshëm për krijimin e GIS-eve për secilën temë të parashikuar nga ligji 72/2012 “Për Organizimin dhe Funksionimin e Infrastrukturës Kombëtare të Informacionit Gjeohapësinor në Republikën e Shqipërisë”. 
Qëllimi i ndërtimit tw GIS-it Kombëtar është të garantojë gjenerimin dhe shpërndarjen e gjeoinformacionit të azhornuar në mënyrë të pandërprerë për përdoruesit fundorë, sipas standardeve dhe specifikimeve të përgatitura gjatë projektimit, pra sipas përcaktimit të atributeve dhe kërkesave që gjeoinformacioni duhet të përmbushë. GIS Kombëtar është një sistem kompleks ku përfshihen implementi i  standarteve të Direktivës Europiane për Gjeoinformacioni INSPIRE, Software , Hardwere, rritje të kapaciteve teknike në autoritet publike ejt.  
</t>
  </si>
  <si>
    <t>M870304</t>
  </si>
  <si>
    <t>Shtimi I kapaciteteve të Infrastrukturës IT (Servera dhe Storage) për foton ajore</t>
  </si>
  <si>
    <t>Servera dhe storage</t>
  </si>
  <si>
    <t>Blerje Servera dhe Storage për të rritur kapacitetin e infrastrukturës së nevojshme për fotografimin e ri që të zhvillohet për zonën Tiranë-Durrës</t>
  </si>
  <si>
    <t>M870250</t>
  </si>
  <si>
    <t>Software inxhinierik GIS dhe Hartografik</t>
  </si>
  <si>
    <t>Blerje programi</t>
  </si>
  <si>
    <t>Program</t>
  </si>
  <si>
    <t>Hartimi i standardeve dhe rregullave uniforme të infrastrukturës së informacionit gjeohapësinor (Programimi i punës dhe proceseve të saj, ngritja dhe zbatimi i politikave, rregullave, procedurave dhe udhëzimeve të punës për elementët e sistemit të gjeoinformacionit).</t>
  </si>
  <si>
    <t>Standartet, udhëzimet, vendimet e miratuara</t>
  </si>
  <si>
    <t xml:space="preserve">Standartet </t>
  </si>
  <si>
    <t>Standartet e miratuara</t>
  </si>
  <si>
    <t>Nr i standarteve të miratuara</t>
  </si>
  <si>
    <t>Vendimet</t>
  </si>
  <si>
    <t>Vendime të miratuara</t>
  </si>
  <si>
    <t>Nr. i vendimeve të miratuara</t>
  </si>
  <si>
    <t>Sigurimi i burimeve financiare për të garantuar inputet e nevojshmet (burime njerëzore, teknologjike dhe kapacitetet operacionale), për ngritjen dhe operimin e sistemit të integruar të gjeoinformacionit, dhe realizimin e produkteve bazë të gjeoinformacionit, në të njëjtën linjë me strategjinë dhe Programin Kombëtar të Sektorit (PKS).</t>
  </si>
  <si>
    <t>Realizimi i produkteve bazë të gjeoinformacionit.</t>
  </si>
  <si>
    <t>Fotografimi ajror për 400 km 2, krijimi i hartës bazë digitale në shkallë 1:2000 për territorin Tiranë- Durrës 400 km 2, përfitim teknologji, fotogrametrie 3D dhe trajnim.</t>
  </si>
  <si>
    <t>Do të kryhet fotografimi ajror për territorin e Tiranë - Durrës me qëllim përftimin e hartës bazë digitale në shkallë 1:2000 nga përpunimi i fotografive ajrore sipas teknologjisë së avancuar fotogrametrike 3D. Gjithashtu do të kryejmë një seri trajnimesh për stafin e ASIG në lidhje me përdorimin e teknologjive të avancuara që perfitojnë nga ky projekt nëpërmjet komponentit "teknologie transfere)</t>
  </si>
  <si>
    <t>km 2</t>
  </si>
  <si>
    <t>M870305, M870306</t>
  </si>
  <si>
    <t>Kosto lokale + TVSH për JICA</t>
  </si>
  <si>
    <t>Fotografim ajror, krijimi i hartës bazë Digitale shkalla 1:2000, teknologji dhe trajnim.</t>
  </si>
  <si>
    <t>Nr. i projekteve</t>
  </si>
  <si>
    <t>M870307</t>
  </si>
  <si>
    <t>TVSH për SK (Qeveria Norvegjeze)</t>
  </si>
  <si>
    <t>Trajnime dhe rritje kapaciteti të stafit, asistencë teknike në hartimin e draft/standarteve dhe skanimi i hartave dhe fotografive ajore historike në Shqipëri, përftimin teknologji dhe software (programe), asistencë për krijimin e GIS-it Kombëtar etj.</t>
  </si>
  <si>
    <t>Projekti parashikon që ASIG të përfitojë një asistencë shumë të nevojshme teknike për hartimin e standarteve të Informacionit Gjeohapësinor sipas direktivës INSPIRE të BE e cila do të mundësojë unifikimin e informacionit për të gjithë përdoruesit si në nivel qeverisje qëndrore dhe lokale. Do të ketë trajnime në fusha të ndryshme të hartografisë, GIS dhe Gjeodezisë në vecanti për krijimin e një gjeoidi Shqiptar.</t>
  </si>
  <si>
    <t>Krijimi i Hartës Bazë në Republikën e Shqipërisë</t>
  </si>
  <si>
    <t xml:space="preserve">Produkti që do të realizojë ky projekt do të jetë krijimi i hartës Bazë dixhitale për 700 km2 në zona urbane dhe zonat me përparësi zhvillimi në shkallë 1:2000. </t>
  </si>
  <si>
    <t xml:space="preserve">Parashikohen të pergatiten hartat me informacion hartografik të freskët dhe të saktë për shkallët 1:500, 1;2000, 1:5000 dhe 1:10000  për të gjitha qytetet e Shqipërisë në rreth 700 km2, rilevime. Në këtë informacion hartografik parashikohen të paraqiten rreth 45 elemente topografike, gjeografike dhe infrastrukturorë, konture ndërtesash  dhe parcelash, infrastrukturë e të tjera informacione të rëndësishme.Parashikohen të kryhen fotografim ajror të ri për azhornim të informacionit hartografik nëpërmjet përdorimit të metodave fotogrametrike. </t>
  </si>
  <si>
    <t>Fuqizimi i funksionit menaxhues në nivelin rajonal dhe ndër-rajonal, në funksion të implementimit të suksesshëm të Programit Operacional dhe nënprogrameve respektive.  Implementimi i politikës kombëtare  të zhvillimit rajonal dhe kohezionit territorial është baza kryesore mbi të cilën ndërtohen veprimtaritë e programit buxhetor, konform kërkesave të kuadrit ligjor në fuqi.</t>
  </si>
  <si>
    <t xml:space="preserve">1. Përmirësimi i skemës së planifikimit dhe menaxhimit në përputhje me standardet dhe procedurat ligjore, implementimin e suksesshëm të Programit , nënprogrameve respektive dhe objektivave kombëtare të zhvillimit rajonal dhe kohezionit territorial. 
2. Mirëmenaxhimi i burimeve njerëzore, duke synuar në rritjen e kompetencave profesionale, nëpërmjet trajnimeve, shkëmbimit të eksperiencave, partneriteteve dhe rrjeteve të bashkëpunimit, metodave  të vlerësimit dhe vetëvlerësimit, etj. 
3. Krijimi dhe mirëmbajtja e sistemit të informacionit në fushën e zhvillimit rajonal, për të siguruar një bazë informative të plotë në lidhje me projektet, investimet, financimet, produktet dhe rezultatet me bazë performance, etj.  
4. Rritja e aftësive vlerësuese dhe vetëvlerësuese duke ndërtuar një sistem të qëndrueshëm dhe transparent monitorimi, auditimi, mbështetur në praktikat më të mira ndërkombëtare. </t>
  </si>
  <si>
    <t>Nr I punonjesve te trajnuar profesionalisht</t>
  </si>
  <si>
    <t>Koha e marrjes se informacionit ne fushen e zhvillimit rajonal</t>
  </si>
  <si>
    <t>NA</t>
  </si>
  <si>
    <t>menjehere</t>
  </si>
  <si>
    <t xml:space="preserve">Sigurimi i shërbimeve bazë për realizimin efektiv të përgjegjësive funksionale të AZHER,  forcimi i kapaciteteve planifikuese dhe menaxhuese, të punonjësve në Agjenci dhe përmirësimi i kushteve të punës, për rritjen e eficensës dhe efektivitetit në punë, nëpërmjet sigurimit të shërbimeve bazë (zyra, materiale, energji, internet, telefon ngrohje etj), si dhe sigurimi i pajisjeve të zyrave, pajisje teknollogjike. </t>
  </si>
  <si>
    <t>Administrate funksionale e AZHER</t>
  </si>
  <si>
    <t>Forcimi i kapaciteteve planifikuese dhe menaxhuese, të punonjësve në Agjenci dhe përmirësimi i kushteve të punës, për rritjen e eficensës dhe efektivitetit në punë.</t>
  </si>
  <si>
    <t>Nr I punonjesve</t>
  </si>
  <si>
    <t>Blerje Pajisje dhe Orendi Zyre</t>
  </si>
  <si>
    <t>Orendi Zyre</t>
  </si>
  <si>
    <t>Pajisje dhe Orendi Zyre</t>
  </si>
  <si>
    <t>Nr I pajisjeve</t>
  </si>
  <si>
    <t>Supozohet se politikat aktuale do te mbeten te pandryshuara per vitet e ardhshme</t>
  </si>
  <si>
    <t xml:space="preserve">Pajisje informatike </t>
  </si>
  <si>
    <t>M870057</t>
  </si>
  <si>
    <t>Studime ose kerkime</t>
  </si>
  <si>
    <t xml:space="preserve"> Studime dhe kerkime per projekte te ndryshme </t>
  </si>
  <si>
    <t>nr I Studimeve/Kerkimeve</t>
  </si>
  <si>
    <r>
      <t>Detajimi i Kostos Totale të</t>
    </r>
    <r>
      <rPr>
        <b/>
        <sz val="8"/>
        <color rgb="FFFF0000"/>
        <rFont val="Garamond"/>
        <family val="1"/>
      </rPr>
      <t xml:space="preserve"> Produktit X </t>
    </r>
    <r>
      <rPr>
        <b/>
        <sz val="8"/>
        <color theme="1"/>
        <rFont val="Garamond"/>
        <family val="1"/>
      </rPr>
      <t>sipas Artikujve Ekonomikë</t>
    </r>
  </si>
  <si>
    <t>Planifikim/Menaxhi/Administ</t>
  </si>
  <si>
    <t xml:space="preserve">Fuqizimi i funksionit menaxhues, në funksion të implementimit të sukseshëm të programit, konform kërkesave të kuadrit ligjor në fuqi. </t>
  </si>
  <si>
    <t>Akte ligjore/nenligjore te hartuara dhe miratuara</t>
  </si>
  <si>
    <t>Veprimtaria e aparatit te Kryeministrise per hartimin, rregullimin dhe miratimin e te gjitha akteve ligjore /nenligjore te Republikes se Shqiperise</t>
  </si>
  <si>
    <t>nr aktesh</t>
  </si>
  <si>
    <r>
      <t>Ndryshimi në % i Pagave si pasojë e ndryshimit të sasisë së produktit</t>
    </r>
    <r>
      <rPr>
        <b/>
        <i/>
        <sz val="9"/>
        <color rgb="FFFF0000"/>
        <rFont val="Garamond"/>
        <family val="1"/>
      </rPr>
      <t>**</t>
    </r>
  </si>
  <si>
    <r>
      <t>Ndryshimi në % i Sigurimeve Shoqërore dhe Shendetësore si pasojë e ndryshimit të sasisë së produktit</t>
    </r>
    <r>
      <rPr>
        <b/>
        <i/>
        <sz val="9"/>
        <color rgb="FFFF0000"/>
        <rFont val="Garamond"/>
        <family val="1"/>
      </rPr>
      <t>**</t>
    </r>
  </si>
  <si>
    <r>
      <t>Ndryshimi në % i Mallrave dhe Shërbimeve si pasojë e ndryshimit të sasisë së produktit</t>
    </r>
    <r>
      <rPr>
        <b/>
        <i/>
        <sz val="9"/>
        <color rgb="FFFF0000"/>
        <rFont val="Garamond"/>
        <family val="1"/>
      </rPr>
      <t>**</t>
    </r>
  </si>
  <si>
    <r>
      <t>Ndryshimi në % i Subvencioneve si pasojë e ndryshimit të sasisë së produktit</t>
    </r>
    <r>
      <rPr>
        <b/>
        <i/>
        <sz val="9"/>
        <color rgb="FFFF0000"/>
        <rFont val="Garamond"/>
        <family val="1"/>
      </rPr>
      <t>**</t>
    </r>
  </si>
  <si>
    <r>
      <t>Ndryshimi në % i Transfertave të brendshme si pasojë e ndryshimit të sasisë së produktit</t>
    </r>
    <r>
      <rPr>
        <b/>
        <i/>
        <sz val="9"/>
        <color rgb="FFFF0000"/>
        <rFont val="Garamond"/>
        <family val="1"/>
      </rPr>
      <t>**</t>
    </r>
  </si>
  <si>
    <r>
      <t>Ndryshimi në % i Transfertave të jashtme si pasojë e ndryshimit të sasisë së produktit</t>
    </r>
    <r>
      <rPr>
        <b/>
        <i/>
        <sz val="9"/>
        <color rgb="FFFF0000"/>
        <rFont val="Garamond"/>
        <family val="1"/>
      </rPr>
      <t>**</t>
    </r>
  </si>
  <si>
    <r>
      <t>Ndryshimi në % i Transfertave për familjet dhe individët si pasojë e ndryshimit të sasisë së produktit</t>
    </r>
    <r>
      <rPr>
        <b/>
        <i/>
        <sz val="9"/>
        <color rgb="FFFF0000"/>
        <rFont val="Garamond"/>
        <family val="1"/>
      </rPr>
      <t>**</t>
    </r>
  </si>
  <si>
    <r>
      <t>Shënim: Shpjegoni supozimet dhe llogaritjet për Produktin 1 (Metoda 2)</t>
    </r>
    <r>
      <rPr>
        <b/>
        <sz val="8"/>
        <color rgb="FFFF0000"/>
        <rFont val="Garamond"/>
        <family val="1"/>
      </rPr>
      <t>***</t>
    </r>
  </si>
  <si>
    <r>
      <rPr>
        <b/>
        <sz val="8"/>
        <color rgb="FFFF0000"/>
        <rFont val="Garamond"/>
        <family val="1"/>
      </rPr>
      <t>Produkti 2</t>
    </r>
    <r>
      <rPr>
        <sz val="8"/>
        <color theme="1"/>
        <rFont val="Garamond"/>
        <family val="1"/>
      </rPr>
      <t>(shto produkte sipas rastit)</t>
    </r>
  </si>
  <si>
    <t>Takime/evente te KM</t>
  </si>
  <si>
    <t>Veprimtaria e Kryeministrit, takimeve dhe evente ne te cilat merr pjese Kryeministri per te arritur misionin e tij.</t>
  </si>
  <si>
    <r>
      <rPr>
        <b/>
        <sz val="8"/>
        <color rgb="FFFF0000"/>
        <rFont val="Garamond"/>
        <family val="1"/>
      </rPr>
      <t>Produkti 3</t>
    </r>
    <r>
      <rPr>
        <sz val="8"/>
        <color theme="1"/>
        <rFont val="Garamond"/>
        <family val="1"/>
      </rPr>
      <t>(shto produkte sipas rastit)</t>
    </r>
  </si>
  <si>
    <t>Asistenca e PNUD per projekte Zhv</t>
  </si>
  <si>
    <t>Blerje Pajisjes Zyre dhe Elektronike</t>
  </si>
  <si>
    <t>Sistem kondicionimi I instaluar</t>
  </si>
  <si>
    <t>Pajisje Elektronike</t>
  </si>
  <si>
    <r>
      <t xml:space="preserve">Detajimi i Kostos Totale të </t>
    </r>
    <r>
      <rPr>
        <b/>
        <sz val="8"/>
        <color rgb="FFFF0000"/>
        <rFont val="Garamond"/>
        <family val="1"/>
      </rPr>
      <t>Produktit 1&amp;2</t>
    </r>
    <r>
      <rPr>
        <b/>
        <sz val="8"/>
        <color theme="1"/>
        <rFont val="Garamond"/>
        <family val="1"/>
      </rPr>
      <t xml:space="preserve"> sipas Artikujve Ekonomikë</t>
    </r>
  </si>
  <si>
    <t>Katet e godines te rikonstruktuara</t>
  </si>
  <si>
    <t>metra katror</t>
  </si>
  <si>
    <t>STAR</t>
  </si>
  <si>
    <t>SNRAP</t>
  </si>
  <si>
    <r>
      <t xml:space="preserve">Shënim: </t>
    </r>
    <r>
      <rPr>
        <i/>
        <sz val="8"/>
        <color theme="1"/>
        <rFont val="Garamond"/>
        <family val="1"/>
      </rPr>
      <t>Shpjegoni supozimet dhe llogaritjet (Metoda 1)</t>
    </r>
  </si>
  <si>
    <t>Ushtrimimi i funksioneve te Kryeministrit ne perputhje me pergjegjesite qe i jep Kushtetuta dhe  drejtimet kryesore të politikës së së përgjithshme shtetërore.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</si>
</sst>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_-* #,##0.00_L_e_k_-;\-* #,##0.00_L_e_k_-;_-* &quot;-&quot;??_L_e_k_-;_-@_-"/>
    <numFmt numFmtId="165" formatCode="0.0%"/>
    <numFmt numFmtId="166" formatCode="#,##0.0"/>
    <numFmt numFmtId="167" formatCode="_-* #,##0.00_-;\-* #,##0.00_-;_-* &quot;-&quot;??_-;_-@_-"/>
    <numFmt numFmtId="168" formatCode="00000"/>
    <numFmt numFmtId="169" formatCode="_-* #,##0_L_e_k_-;\-* #,##0_L_e_k_-;_-* &quot;-&quot;??_L_e_k_-;_-@_-"/>
    <numFmt numFmtId="170" formatCode="_(* #,##0_);_(* \(#,##0\);_(* &quot;-&quot;??_);_(@_)"/>
  </numFmts>
  <fonts count="92" x14ac:knownFonts="1">
    <font>
      <sz val="11"/>
      <color theme="1"/>
      <name val="Calibri"/>
      <family val="2"/>
      <scheme val="minor"/>
    </font>
    <font>
      <sz val="11"/>
      <color theme="1"/>
      <name val="Calibri"/>
      <family val="2"/>
      <charset val="238"/>
      <scheme val="minor"/>
    </font>
    <font>
      <sz val="11"/>
      <color theme="1"/>
      <name val="Calibri"/>
      <family val="2"/>
      <scheme val="minor"/>
    </font>
    <font>
      <b/>
      <sz val="11"/>
      <color theme="1"/>
      <name val="Calibri"/>
      <family val="2"/>
      <scheme val="minor"/>
    </font>
    <font>
      <b/>
      <sz val="11"/>
      <color rgb="FFFF0000"/>
      <name val="Calibri"/>
      <family val="2"/>
      <scheme val="minor"/>
    </font>
    <font>
      <b/>
      <sz val="10"/>
      <color theme="1"/>
      <name val="Garamond"/>
      <family val="1"/>
    </font>
    <font>
      <sz val="10"/>
      <color theme="1"/>
      <name val="Garamond"/>
      <family val="1"/>
    </font>
    <font>
      <sz val="9"/>
      <color theme="1"/>
      <name val="Garamond"/>
      <family val="1"/>
    </font>
    <font>
      <sz val="8"/>
      <color theme="1"/>
      <name val="Garamond"/>
      <family val="1"/>
    </font>
    <font>
      <b/>
      <sz val="9"/>
      <color theme="1"/>
      <name val="Garamond"/>
      <family val="1"/>
    </font>
    <font>
      <b/>
      <sz val="8"/>
      <color theme="1"/>
      <name val="Garamond"/>
      <family val="1"/>
    </font>
    <font>
      <b/>
      <sz val="8"/>
      <color rgb="FFFF0000"/>
      <name val="Garamond"/>
      <family val="1"/>
    </font>
    <font>
      <i/>
      <sz val="9"/>
      <color theme="1"/>
      <name val="Garamond"/>
      <family val="1"/>
    </font>
    <font>
      <i/>
      <sz val="8"/>
      <color theme="1"/>
      <name val="Garamond"/>
      <family val="1"/>
    </font>
    <font>
      <b/>
      <i/>
      <sz val="9"/>
      <color rgb="FFFF0000"/>
      <name val="Garamond"/>
      <family val="1"/>
    </font>
    <font>
      <b/>
      <sz val="9"/>
      <color rgb="FFFF0000"/>
      <name val="Garamond"/>
      <family val="1"/>
    </font>
    <font>
      <b/>
      <sz val="11"/>
      <name val="Garamond"/>
      <family val="1"/>
    </font>
    <font>
      <b/>
      <i/>
      <sz val="9"/>
      <color theme="1"/>
      <name val="Garamond"/>
      <family val="1"/>
    </font>
    <font>
      <b/>
      <i/>
      <sz val="8"/>
      <color theme="1"/>
      <name val="Garamond"/>
      <family val="1"/>
    </font>
    <font>
      <b/>
      <sz val="9"/>
      <name val="Garamond"/>
      <family val="1"/>
    </font>
    <font>
      <b/>
      <sz val="8"/>
      <color indexed="10"/>
      <name val="Garamond"/>
      <family val="1"/>
    </font>
    <font>
      <b/>
      <sz val="8"/>
      <color indexed="8"/>
      <name val="Garamond"/>
      <family val="1"/>
    </font>
    <font>
      <b/>
      <sz val="9"/>
      <color indexed="81"/>
      <name val="Tahoma"/>
      <family val="2"/>
      <charset val="238"/>
    </font>
    <font>
      <sz val="9"/>
      <color indexed="81"/>
      <name val="Tahoma"/>
      <family val="2"/>
      <charset val="238"/>
    </font>
    <font>
      <sz val="12"/>
      <color theme="1"/>
      <name val="Calibri"/>
      <family val="2"/>
      <scheme val="minor"/>
    </font>
    <font>
      <b/>
      <sz val="12"/>
      <color theme="1"/>
      <name val="Garamond"/>
      <family val="1"/>
    </font>
    <font>
      <b/>
      <sz val="12"/>
      <color rgb="FFFF0000"/>
      <name val="Garamond"/>
      <family val="1"/>
    </font>
    <font>
      <sz val="12"/>
      <color theme="1"/>
      <name val="Garamond"/>
      <family val="1"/>
    </font>
    <font>
      <b/>
      <i/>
      <sz val="12"/>
      <color theme="1"/>
      <name val="Garamond"/>
      <family val="1"/>
    </font>
    <font>
      <i/>
      <sz val="12"/>
      <color theme="1"/>
      <name val="Garamond"/>
      <family val="1"/>
    </font>
    <font>
      <b/>
      <i/>
      <sz val="12"/>
      <color rgb="FFFF0000"/>
      <name val="Garamond"/>
      <family val="1"/>
    </font>
    <font>
      <sz val="10"/>
      <name val="Arial"/>
      <family val="2"/>
    </font>
    <font>
      <sz val="11"/>
      <color theme="1"/>
      <name val="Garamond"/>
      <family val="1"/>
    </font>
    <font>
      <b/>
      <sz val="11"/>
      <color theme="1"/>
      <name val="Garamond"/>
      <family val="1"/>
    </font>
    <font>
      <b/>
      <i/>
      <sz val="11"/>
      <color rgb="FFFF0000"/>
      <name val="Garamond"/>
      <family val="1"/>
    </font>
    <font>
      <b/>
      <sz val="12"/>
      <color theme="1"/>
      <name val="Calibri"/>
      <family val="2"/>
      <scheme val="minor"/>
    </font>
    <font>
      <sz val="9"/>
      <color theme="1"/>
      <name val="Times New Roman"/>
      <family val="1"/>
    </font>
    <font>
      <b/>
      <sz val="9"/>
      <color indexed="81"/>
      <name val="Tahoma"/>
      <family val="2"/>
    </font>
    <font>
      <sz val="9"/>
      <color indexed="81"/>
      <name val="Tahoma"/>
      <family val="2"/>
    </font>
    <font>
      <sz val="11"/>
      <color theme="1"/>
      <name val="Calibri"/>
      <family val="2"/>
      <charset val="238"/>
      <scheme val="minor"/>
    </font>
    <font>
      <sz val="11"/>
      <color theme="1"/>
      <name val="Times New Roman"/>
      <family val="1"/>
    </font>
    <font>
      <b/>
      <sz val="11"/>
      <color theme="1"/>
      <name val="Calibri"/>
      <family val="2"/>
      <charset val="238"/>
      <scheme val="minor"/>
    </font>
    <font>
      <sz val="11"/>
      <color theme="1"/>
      <name val="Times New Roman"/>
      <family val="1"/>
      <charset val="238"/>
    </font>
    <font>
      <b/>
      <sz val="11"/>
      <color theme="1"/>
      <name val="Times New Roman"/>
      <family val="1"/>
      <charset val="238"/>
    </font>
    <font>
      <b/>
      <sz val="11"/>
      <color rgb="FFFF0000"/>
      <name val="Times New Roman"/>
      <family val="1"/>
      <charset val="238"/>
    </font>
    <font>
      <i/>
      <sz val="11"/>
      <color theme="1"/>
      <name val="Times New Roman"/>
      <family val="1"/>
      <charset val="238"/>
    </font>
    <font>
      <b/>
      <i/>
      <sz val="11"/>
      <color theme="1"/>
      <name val="Times New Roman"/>
      <family val="1"/>
      <charset val="238"/>
    </font>
    <font>
      <b/>
      <sz val="11"/>
      <name val="Times New Roman"/>
      <family val="1"/>
      <charset val="238"/>
    </font>
    <font>
      <b/>
      <i/>
      <sz val="11"/>
      <color rgb="FFFF0000"/>
      <name val="Times New Roman"/>
      <family val="1"/>
      <charset val="238"/>
    </font>
    <font>
      <b/>
      <sz val="12"/>
      <name val="Garamond"/>
      <family val="1"/>
    </font>
    <font>
      <b/>
      <sz val="11"/>
      <color theme="1"/>
      <name val="Garamond"/>
      <family val="1"/>
      <charset val="238"/>
    </font>
    <font>
      <sz val="11"/>
      <name val="Garamond"/>
      <family val="1"/>
    </font>
    <font>
      <b/>
      <sz val="11"/>
      <color rgb="FFFF0000"/>
      <name val="Garamond"/>
      <family val="1"/>
    </font>
    <font>
      <i/>
      <sz val="11"/>
      <color theme="1"/>
      <name val="Garamond"/>
      <family val="1"/>
    </font>
    <font>
      <sz val="11"/>
      <color theme="1"/>
      <name val="Garamond"/>
      <family val="1"/>
      <charset val="238"/>
    </font>
    <font>
      <b/>
      <i/>
      <sz val="11"/>
      <color theme="1"/>
      <name val="Garamond"/>
      <family val="1"/>
    </font>
    <font>
      <i/>
      <sz val="11"/>
      <color theme="1"/>
      <name val="Calibri"/>
      <family val="2"/>
      <scheme val="minor"/>
    </font>
    <font>
      <i/>
      <sz val="11"/>
      <name val="Calibri"/>
      <family val="2"/>
      <scheme val="minor"/>
    </font>
    <font>
      <b/>
      <i/>
      <sz val="11"/>
      <color rgb="FFFF0000"/>
      <name val="Calibri"/>
      <family val="2"/>
      <scheme val="minor"/>
    </font>
    <font>
      <sz val="11"/>
      <color rgb="FFFF0000"/>
      <name val="Garamond"/>
      <family val="1"/>
    </font>
    <font>
      <b/>
      <sz val="11"/>
      <name val="Garamond"/>
      <family val="1"/>
      <charset val="238"/>
    </font>
    <font>
      <sz val="11"/>
      <color rgb="FFFF0000"/>
      <name val="Garamond"/>
      <family val="1"/>
      <charset val="238"/>
    </font>
    <font>
      <b/>
      <i/>
      <sz val="11"/>
      <color theme="1"/>
      <name val="Garamond"/>
      <family val="1"/>
      <charset val="238"/>
    </font>
    <font>
      <b/>
      <sz val="11"/>
      <color rgb="FFFF0000"/>
      <name val="Garamond"/>
      <family val="1"/>
      <charset val="238"/>
    </font>
    <font>
      <sz val="11"/>
      <name val="Arial"/>
      <family val="2"/>
    </font>
    <font>
      <b/>
      <sz val="11"/>
      <color theme="4"/>
      <name val="Garamond"/>
      <family val="1"/>
    </font>
    <font>
      <sz val="11"/>
      <color rgb="FF0070C0"/>
      <name val="Garamond"/>
      <family val="1"/>
    </font>
    <font>
      <sz val="11"/>
      <color theme="4" tint="-0.249977111117893"/>
      <name val="Garamond"/>
      <family val="1"/>
    </font>
    <font>
      <sz val="11"/>
      <color rgb="FF002060"/>
      <name val="Garamond"/>
      <family val="1"/>
    </font>
    <font>
      <b/>
      <i/>
      <sz val="11"/>
      <name val="Garamond"/>
      <family val="1"/>
    </font>
    <font>
      <sz val="11"/>
      <color theme="1" tint="4.9989318521683403E-2"/>
      <name val="Garamond"/>
      <family val="1"/>
    </font>
    <font>
      <i/>
      <sz val="11"/>
      <color theme="1" tint="4.9989318521683403E-2"/>
      <name val="Garamond"/>
      <family val="1"/>
    </font>
    <font>
      <sz val="11"/>
      <name val="Times New Roman"/>
      <family val="1"/>
      <charset val="238"/>
    </font>
    <font>
      <sz val="11"/>
      <color rgb="FFFF0000"/>
      <name val="Times New Roman"/>
      <family val="1"/>
      <charset val="238"/>
    </font>
    <font>
      <b/>
      <i/>
      <sz val="11"/>
      <color theme="1"/>
      <name val="Times New Roman"/>
      <family val="1"/>
    </font>
    <font>
      <b/>
      <i/>
      <sz val="11"/>
      <color rgb="FFFF0000"/>
      <name val="Times New Roman"/>
      <family val="1"/>
    </font>
    <font>
      <b/>
      <sz val="11"/>
      <color rgb="FFFFFF00"/>
      <name val="Garamond"/>
      <family val="1"/>
    </font>
    <font>
      <i/>
      <sz val="11"/>
      <color rgb="FFFF0000"/>
      <name val="Garamond"/>
      <family val="1"/>
    </font>
    <font>
      <i/>
      <sz val="11"/>
      <name val="Garamond"/>
      <family val="1"/>
    </font>
    <font>
      <b/>
      <sz val="10"/>
      <color rgb="FFFF0000"/>
      <name val="Garamond"/>
      <family val="1"/>
    </font>
    <font>
      <b/>
      <sz val="11"/>
      <name val="Calibri"/>
      <family val="2"/>
      <scheme val="minor"/>
    </font>
    <font>
      <sz val="11"/>
      <name val="Calibri"/>
      <family val="2"/>
      <scheme val="minor"/>
    </font>
    <font>
      <b/>
      <sz val="11"/>
      <color indexed="10"/>
      <name val="Garamond"/>
      <family val="1"/>
    </font>
    <font>
      <b/>
      <sz val="11"/>
      <color indexed="8"/>
      <name val="Garamond"/>
      <family val="1"/>
    </font>
    <font>
      <sz val="11"/>
      <color indexed="8"/>
      <name val="Garamond"/>
      <family val="1"/>
    </font>
    <font>
      <i/>
      <sz val="11"/>
      <color theme="1"/>
      <name val="Calibri"/>
      <family val="2"/>
      <charset val="238"/>
      <scheme val="minor"/>
    </font>
    <font>
      <sz val="11"/>
      <name val="Garamond"/>
      <family val="1"/>
      <charset val="238"/>
    </font>
    <font>
      <b/>
      <i/>
      <sz val="11"/>
      <color indexed="10"/>
      <name val="Garamond"/>
      <family val="1"/>
    </font>
    <font>
      <i/>
      <sz val="11"/>
      <color indexed="8"/>
      <name val="Garamond"/>
      <family val="1"/>
    </font>
    <font>
      <sz val="11"/>
      <color theme="0"/>
      <name val="Calibri"/>
      <family val="2"/>
      <scheme val="minor"/>
    </font>
    <font>
      <sz val="8"/>
      <color rgb="FFFF0000"/>
      <name val="Garamond"/>
      <family val="1"/>
    </font>
    <font>
      <sz val="8"/>
      <name val="Garamond"/>
      <family val="1"/>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5C99D"/>
        <bgColor indexed="64"/>
      </patternFill>
    </fill>
    <fill>
      <patternFill patternType="solid">
        <fgColor theme="0" tint="-0.249977111117893"/>
        <bgColor indexed="64"/>
      </patternFill>
    </fill>
    <fill>
      <patternFill patternType="solid">
        <fgColor rgb="FFFFFFFF"/>
        <bgColor indexed="64"/>
      </patternFill>
    </fill>
    <fill>
      <patternFill patternType="solid">
        <fgColor theme="2"/>
        <bgColor indexed="64"/>
      </patternFill>
    </fill>
    <fill>
      <patternFill patternType="solid">
        <fgColor theme="0" tint="-0.14999847407452621"/>
        <bgColor indexed="64"/>
      </patternFill>
    </fill>
  </fills>
  <borders count="120">
    <border>
      <left/>
      <right/>
      <top/>
      <bottom/>
      <diagonal/>
    </border>
    <border>
      <left style="medium">
        <color rgb="FF2E74B5"/>
      </left>
      <right style="medium">
        <color rgb="FF2E74B5"/>
      </right>
      <top style="medium">
        <color rgb="FF2E74B5"/>
      </top>
      <bottom style="medium">
        <color rgb="FF2E74B5"/>
      </bottom>
      <diagonal/>
    </border>
    <border>
      <left style="medium">
        <color rgb="FF2E74B5"/>
      </left>
      <right/>
      <top style="medium">
        <color rgb="FF2E74B5"/>
      </top>
      <bottom style="medium">
        <color rgb="FF2E74B5"/>
      </bottom>
      <diagonal/>
    </border>
    <border>
      <left/>
      <right/>
      <top style="medium">
        <color rgb="FF2E74B5"/>
      </top>
      <bottom style="medium">
        <color rgb="FF2E74B5"/>
      </bottom>
      <diagonal/>
    </border>
    <border>
      <left/>
      <right style="medium">
        <color rgb="FF2E74B5"/>
      </right>
      <top style="medium">
        <color rgb="FF2E74B5"/>
      </top>
      <bottom style="medium">
        <color rgb="FF2E74B5"/>
      </bottom>
      <diagonal/>
    </border>
    <border>
      <left style="medium">
        <color rgb="FF2E74B5"/>
      </left>
      <right style="medium">
        <color rgb="FF2E74B5"/>
      </right>
      <top style="medium">
        <color rgb="FF2E74B5"/>
      </top>
      <bottom/>
      <diagonal/>
    </border>
    <border>
      <left/>
      <right style="medium">
        <color rgb="FF2E74B5"/>
      </right>
      <top/>
      <bottom/>
      <diagonal/>
    </border>
    <border>
      <left style="medium">
        <color rgb="FF2E74B5"/>
      </left>
      <right style="medium">
        <color rgb="FF2E74B5"/>
      </right>
      <top/>
      <bottom style="medium">
        <color rgb="FF2E74B5"/>
      </bottom>
      <diagonal/>
    </border>
    <border>
      <left/>
      <right style="medium">
        <color rgb="FF2E74B5"/>
      </right>
      <top/>
      <bottom style="medium">
        <color rgb="FF2E74B5"/>
      </bottom>
      <diagonal/>
    </border>
    <border>
      <left style="medium">
        <color rgb="FF2E74B5"/>
      </left>
      <right style="medium">
        <color rgb="FF2E74B5"/>
      </right>
      <top/>
      <bottom/>
      <diagonal/>
    </border>
    <border>
      <left style="medium">
        <color rgb="FF2E74B5"/>
      </left>
      <right/>
      <top style="medium">
        <color rgb="FF2E74B5"/>
      </top>
      <bottom/>
      <diagonal/>
    </border>
    <border>
      <left/>
      <right/>
      <top style="medium">
        <color rgb="FF2E74B5"/>
      </top>
      <bottom/>
      <diagonal/>
    </border>
    <border>
      <left/>
      <right style="medium">
        <color rgb="FF2E74B5"/>
      </right>
      <top style="medium">
        <color rgb="FF2E74B5"/>
      </top>
      <bottom/>
      <diagonal/>
    </border>
    <border>
      <left style="medium">
        <color rgb="FF2E74B5"/>
      </left>
      <right/>
      <top/>
      <bottom/>
      <diagonal/>
    </border>
    <border>
      <left style="medium">
        <color rgb="FF2E74B5"/>
      </left>
      <right/>
      <top/>
      <bottom style="medium">
        <color rgb="FF2E74B5"/>
      </bottom>
      <diagonal/>
    </border>
    <border>
      <left/>
      <right/>
      <top/>
      <bottom style="medium">
        <color rgb="FF2E74B5"/>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2E74B5"/>
      </left>
      <right style="medium">
        <color rgb="FF2E74B5"/>
      </right>
      <top style="medium">
        <color rgb="FF2E74B5"/>
      </top>
      <bottom style="thin">
        <color indexed="64"/>
      </bottom>
      <diagonal/>
    </border>
    <border>
      <left/>
      <right style="thin">
        <color indexed="64"/>
      </right>
      <top/>
      <bottom style="medium">
        <color rgb="FF2E74B5"/>
      </bottom>
      <diagonal/>
    </border>
    <border>
      <left style="medium">
        <color rgb="FF2E74B5"/>
      </left>
      <right style="medium">
        <color rgb="FF2E74B5"/>
      </right>
      <top style="thin">
        <color indexed="64"/>
      </top>
      <bottom style="medium">
        <color rgb="FF2E74B5"/>
      </bottom>
      <diagonal/>
    </border>
    <border>
      <left/>
      <right style="thin">
        <color indexed="64"/>
      </right>
      <top/>
      <bottom/>
      <diagonal/>
    </border>
    <border>
      <left style="thin">
        <color indexed="64"/>
      </left>
      <right/>
      <top/>
      <bottom/>
      <diagonal/>
    </border>
    <border>
      <left/>
      <right style="thin">
        <color indexed="64"/>
      </right>
      <top style="medium">
        <color rgb="FF2E74B5"/>
      </top>
      <bottom style="medium">
        <color rgb="FF2E74B5"/>
      </bottom>
      <diagonal/>
    </border>
    <border>
      <left/>
      <right style="thin">
        <color indexed="64"/>
      </right>
      <top style="medium">
        <color rgb="FF2E74B5"/>
      </top>
      <bottom/>
      <diagonal/>
    </border>
    <border>
      <left style="medium">
        <color rgb="FF2E74B5"/>
      </left>
      <right style="thin">
        <color indexed="64"/>
      </right>
      <top/>
      <bottom style="medium">
        <color rgb="FF2E74B5"/>
      </bottom>
      <diagonal/>
    </border>
    <border>
      <left style="thin">
        <color indexed="64"/>
      </left>
      <right/>
      <top style="thin">
        <color indexed="64"/>
      </top>
      <bottom style="thin">
        <color indexed="64"/>
      </bottom>
      <diagonal/>
    </border>
    <border>
      <left style="medium">
        <color rgb="FF2E74B5"/>
      </left>
      <right style="medium">
        <color rgb="FF2E74B5"/>
      </right>
      <top/>
      <bottom style="medium">
        <color theme="4"/>
      </bottom>
      <diagonal/>
    </border>
    <border>
      <left style="medium">
        <color rgb="FF2E74B5"/>
      </left>
      <right/>
      <top/>
      <bottom style="medium">
        <color theme="4"/>
      </bottom>
      <diagonal/>
    </border>
    <border>
      <left/>
      <right/>
      <top/>
      <bottom style="medium">
        <color theme="4"/>
      </bottom>
      <diagonal/>
    </border>
    <border>
      <left/>
      <right style="medium">
        <color rgb="FF2E74B5"/>
      </right>
      <top/>
      <bottom style="medium">
        <color theme="4"/>
      </bottom>
      <diagonal/>
    </border>
    <border>
      <left style="medium">
        <color rgb="FF2E74B5"/>
      </left>
      <right style="medium">
        <color rgb="FF2E74B5"/>
      </right>
      <top style="medium">
        <color rgb="FF2E74B5"/>
      </top>
      <bottom style="medium">
        <color theme="4"/>
      </bottom>
      <diagonal/>
    </border>
    <border>
      <left style="medium">
        <color theme="4"/>
      </left>
      <right style="medium">
        <color indexed="64"/>
      </right>
      <top style="medium">
        <color theme="4"/>
      </top>
      <bottom style="medium">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rgb="FF2E74B5"/>
      </right>
      <top style="medium">
        <color rgb="FF2E74B5"/>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2E74B5"/>
      </left>
      <right/>
      <top style="thin">
        <color indexed="64"/>
      </top>
      <bottom/>
      <diagonal/>
    </border>
    <border>
      <left/>
      <right style="medium">
        <color rgb="FF2E74B5"/>
      </right>
      <top style="thin">
        <color indexed="64"/>
      </top>
      <bottom/>
      <diagonal/>
    </border>
    <border>
      <left/>
      <right style="medium">
        <color rgb="FF2E74B5"/>
      </right>
      <top style="thin">
        <color indexed="64"/>
      </top>
      <bottom style="medium">
        <color rgb="FF2E74B5"/>
      </bottom>
      <diagonal/>
    </border>
    <border>
      <left style="thin">
        <color indexed="64"/>
      </left>
      <right style="thin">
        <color indexed="64"/>
      </right>
      <top/>
      <bottom style="thin">
        <color indexed="64"/>
      </bottom>
      <diagonal/>
    </border>
    <border>
      <left style="thin">
        <color indexed="64"/>
      </left>
      <right style="medium">
        <color rgb="FF2E74B5"/>
      </right>
      <top style="thin">
        <color indexed="64"/>
      </top>
      <bottom style="medium">
        <color rgb="FF2E74B5"/>
      </bottom>
      <diagonal/>
    </border>
    <border>
      <left style="medium">
        <color rgb="FF2E74B5"/>
      </left>
      <right style="thin">
        <color indexed="64"/>
      </right>
      <top style="thin">
        <color indexed="64"/>
      </top>
      <bottom style="medium">
        <color rgb="FF2E74B5"/>
      </bottom>
      <diagonal/>
    </border>
    <border>
      <left style="thin">
        <color indexed="64"/>
      </left>
      <right style="medium">
        <color rgb="FF2E74B5"/>
      </right>
      <top style="medium">
        <color rgb="FF2E74B5"/>
      </top>
      <bottom style="medium">
        <color rgb="FF2E74B5"/>
      </bottom>
      <diagonal/>
    </border>
    <border>
      <left style="thin">
        <color indexed="64"/>
      </left>
      <right/>
      <top style="medium">
        <color rgb="FF2E74B5"/>
      </top>
      <bottom style="medium">
        <color rgb="FF2E74B5"/>
      </bottom>
      <diagonal/>
    </border>
    <border>
      <left style="thin">
        <color indexed="64"/>
      </left>
      <right style="medium">
        <color rgb="FF2E74B5"/>
      </right>
      <top style="medium">
        <color rgb="FF2E74B5"/>
      </top>
      <bottom/>
      <diagonal/>
    </border>
    <border>
      <left style="thin">
        <color indexed="64"/>
      </left>
      <right style="medium">
        <color rgb="FF2E74B5"/>
      </right>
      <top/>
      <bottom style="medium">
        <color rgb="FF2E74B5"/>
      </bottom>
      <diagonal/>
    </border>
    <border>
      <left style="thin">
        <color indexed="64"/>
      </left>
      <right style="medium">
        <color rgb="FF2E74B5"/>
      </right>
      <top/>
      <bottom style="thin">
        <color indexed="64"/>
      </bottom>
      <diagonal/>
    </border>
    <border>
      <left style="medium">
        <color rgb="FF2E74B5"/>
      </left>
      <right style="medium">
        <color rgb="FF2E74B5"/>
      </right>
      <top/>
      <bottom style="thin">
        <color indexed="64"/>
      </bottom>
      <diagonal/>
    </border>
    <border>
      <left style="medium">
        <color rgb="FF2E74B5"/>
      </left>
      <right style="thin">
        <color indexed="64"/>
      </right>
      <top/>
      <bottom style="thin">
        <color indexed="64"/>
      </bottom>
      <diagonal/>
    </border>
    <border>
      <left/>
      <right style="medium">
        <color rgb="FF2E74B5"/>
      </right>
      <top/>
      <bottom style="thin">
        <color indexed="64"/>
      </bottom>
      <diagonal/>
    </border>
    <border>
      <left/>
      <right style="thin">
        <color indexed="64"/>
      </right>
      <top style="thin">
        <color indexed="64"/>
      </top>
      <bottom style="medium">
        <color rgb="FF2E74B5"/>
      </bottom>
      <diagonal/>
    </border>
    <border>
      <left style="thin">
        <color indexed="64"/>
      </left>
      <right style="medium">
        <color rgb="FF2E74B5"/>
      </right>
      <top/>
      <bottom/>
      <diagonal/>
    </border>
    <border>
      <left style="medium">
        <color rgb="FF2E74B5"/>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2E74B5"/>
      </right>
      <top style="medium">
        <color indexed="64"/>
      </top>
      <bottom style="medium">
        <color indexed="64"/>
      </bottom>
      <diagonal/>
    </border>
    <border>
      <left style="medium">
        <color rgb="FF2E74B5"/>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2E74B5"/>
      </right>
      <top style="medium">
        <color indexed="64"/>
      </top>
      <bottom style="medium">
        <color indexed="64"/>
      </bottom>
      <diagonal/>
    </border>
    <border>
      <left style="medium">
        <color rgb="FF2E74B5"/>
      </left>
      <right style="medium">
        <color rgb="FF2E74B5"/>
      </right>
      <top/>
      <bottom style="medium">
        <color indexed="64"/>
      </bottom>
      <diagonal/>
    </border>
    <border>
      <left style="medium">
        <color rgb="FF2E74B5"/>
      </left>
      <right/>
      <top style="medium">
        <color rgb="FF2E74B5"/>
      </top>
      <bottom style="medium">
        <color indexed="64"/>
      </bottom>
      <diagonal/>
    </border>
    <border>
      <left/>
      <right/>
      <top style="medium">
        <color rgb="FF2E74B5"/>
      </top>
      <bottom style="medium">
        <color indexed="64"/>
      </bottom>
      <diagonal/>
    </border>
    <border>
      <left/>
      <right style="medium">
        <color rgb="FF2E74B5"/>
      </right>
      <top style="medium">
        <color rgb="FF2E74B5"/>
      </top>
      <bottom style="medium">
        <color indexed="64"/>
      </bottom>
      <diagonal/>
    </border>
    <border>
      <left style="medium">
        <color indexed="64"/>
      </left>
      <right style="medium">
        <color rgb="FF2E74B5"/>
      </right>
      <top style="medium">
        <color indexed="64"/>
      </top>
      <bottom/>
      <diagonal/>
    </border>
    <border>
      <left style="medium">
        <color indexed="64"/>
      </left>
      <right style="medium">
        <color rgb="FF2E74B5"/>
      </right>
      <top/>
      <bottom/>
      <diagonal/>
    </border>
    <border>
      <left style="medium">
        <color indexed="64"/>
      </left>
      <right style="medium">
        <color rgb="FF2E74B5"/>
      </right>
      <top/>
      <bottom style="medium">
        <color indexed="64"/>
      </bottom>
      <diagonal/>
    </border>
    <border>
      <left/>
      <right style="medium">
        <color rgb="FF2E74B5"/>
      </right>
      <top style="medium">
        <color indexed="64"/>
      </top>
      <bottom/>
      <diagonal/>
    </border>
    <border>
      <left/>
      <right style="medium">
        <color rgb="FF2E74B5"/>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rgb="FF2E74B5"/>
      </right>
      <top/>
      <bottom style="medium">
        <color rgb="FF2E74B5"/>
      </bottom>
      <diagonal/>
    </border>
    <border>
      <left/>
      <right style="medium">
        <color indexed="64"/>
      </right>
      <top/>
      <bottom style="medium">
        <color rgb="FF2E74B5"/>
      </bottom>
      <diagonal/>
    </border>
    <border>
      <left style="medium">
        <color indexed="64"/>
      </left>
      <right style="medium">
        <color rgb="FF2E74B5"/>
      </right>
      <top style="medium">
        <color rgb="FF2E74B5"/>
      </top>
      <bottom style="medium">
        <color rgb="FF2E74B5"/>
      </bottom>
      <diagonal/>
    </border>
    <border>
      <left/>
      <right style="medium">
        <color indexed="64"/>
      </right>
      <top style="medium">
        <color rgb="FF2E74B5"/>
      </top>
      <bottom style="medium">
        <color rgb="FF2E74B5"/>
      </bottom>
      <diagonal/>
    </border>
    <border>
      <left style="medium">
        <color indexed="64"/>
      </left>
      <right/>
      <top style="medium">
        <color rgb="FF2E74B5"/>
      </top>
      <bottom style="medium">
        <color rgb="FF2E74B5"/>
      </bottom>
      <diagonal/>
    </border>
    <border>
      <left style="medium">
        <color indexed="64"/>
      </left>
      <right/>
      <top style="medium">
        <color rgb="FF2E74B5"/>
      </top>
      <bottom/>
      <diagonal/>
    </border>
    <border>
      <left/>
      <right style="medium">
        <color indexed="64"/>
      </right>
      <top style="medium">
        <color rgb="FF2E74B5"/>
      </top>
      <bottom/>
      <diagonal/>
    </border>
    <border>
      <left style="medium">
        <color indexed="64"/>
      </left>
      <right/>
      <top style="medium">
        <color indexed="64"/>
      </top>
      <bottom style="medium">
        <color rgb="FF2E74B5"/>
      </bottom>
      <diagonal/>
    </border>
    <border>
      <left/>
      <right/>
      <top style="medium">
        <color indexed="64"/>
      </top>
      <bottom style="medium">
        <color rgb="FF2E74B5"/>
      </bottom>
      <diagonal/>
    </border>
    <border>
      <left/>
      <right style="medium">
        <color indexed="64"/>
      </right>
      <top style="medium">
        <color indexed="64"/>
      </top>
      <bottom style="medium">
        <color rgb="FF2E74B5"/>
      </bottom>
      <diagonal/>
    </border>
    <border>
      <left style="medium">
        <color indexed="64"/>
      </left>
      <right style="medium">
        <color rgb="FF2E74B5"/>
      </right>
      <top style="medium">
        <color rgb="FF2E74B5"/>
      </top>
      <bottom/>
      <diagonal/>
    </border>
    <border>
      <left style="medium">
        <color rgb="FF2E74B5"/>
      </left>
      <right style="medium">
        <color indexed="64"/>
      </right>
      <top/>
      <bottom style="medium">
        <color rgb="FF2E74B5"/>
      </bottom>
      <diagonal/>
    </border>
    <border>
      <left style="medium">
        <color indexed="64"/>
      </left>
      <right style="medium">
        <color indexed="64"/>
      </right>
      <top/>
      <bottom style="medium">
        <color indexed="64"/>
      </bottom>
      <diagonal/>
    </border>
    <border>
      <left style="medium">
        <color indexed="64"/>
      </left>
      <right/>
      <top/>
      <bottom style="medium">
        <color rgb="FF2E74B5"/>
      </bottom>
      <diagonal/>
    </border>
    <border>
      <left style="medium">
        <color indexed="64"/>
      </left>
      <right/>
      <top style="medium">
        <color rgb="FF2E74B5"/>
      </top>
      <bottom style="medium">
        <color indexed="64"/>
      </bottom>
      <diagonal/>
    </border>
    <border>
      <left/>
      <right style="medium">
        <color indexed="64"/>
      </right>
      <top style="medium">
        <color rgb="FF2E74B5"/>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rgb="FF2E74B5"/>
      </right>
      <top style="medium">
        <color indexed="64"/>
      </top>
      <bottom style="medium">
        <color rgb="FF2E74B5"/>
      </bottom>
      <diagonal/>
    </border>
    <border>
      <left/>
      <right style="medium">
        <color rgb="FF2E74B5"/>
      </right>
      <top style="medium">
        <color indexed="64"/>
      </top>
      <bottom style="medium">
        <color rgb="FF2E74B5"/>
      </bottom>
      <diagonal/>
    </border>
    <border>
      <left style="thin">
        <color indexed="64"/>
      </left>
      <right style="thin">
        <color indexed="64"/>
      </right>
      <top style="thin">
        <color indexed="64"/>
      </top>
      <bottom/>
      <diagonal/>
    </border>
    <border>
      <left style="medium">
        <color rgb="FF2E74B5"/>
      </left>
      <right/>
      <top style="medium">
        <color indexed="64"/>
      </top>
      <bottom style="medium">
        <color rgb="FF2E74B5"/>
      </bottom>
      <diagonal/>
    </border>
    <border>
      <left style="medium">
        <color theme="4" tint="-0.24994659260841701"/>
      </left>
      <right style="medium">
        <color rgb="FF2E74B5"/>
      </right>
      <top/>
      <bottom style="medium">
        <color theme="4" tint="-0.24994659260841701"/>
      </bottom>
      <diagonal/>
    </border>
    <border>
      <left style="medium">
        <color theme="4" tint="-0.24994659260841701"/>
      </left>
      <right/>
      <top/>
      <bottom style="thin">
        <color indexed="64"/>
      </bottom>
      <diagonal/>
    </border>
    <border>
      <left style="medium">
        <color rgb="FF2E74B5"/>
      </left>
      <right style="medium">
        <color rgb="FF2E74B5"/>
      </right>
      <top style="medium">
        <color theme="4" tint="-0.24994659260841701"/>
      </top>
      <bottom/>
      <diagonal/>
    </border>
    <border>
      <left style="medium">
        <color rgb="FF2E74B5"/>
      </left>
      <right/>
      <top style="medium">
        <color rgb="FF2E74B5"/>
      </top>
      <bottom style="thin">
        <color theme="4" tint="-0.249977111117893"/>
      </bottom>
      <diagonal/>
    </border>
    <border>
      <left/>
      <right/>
      <top style="medium">
        <color rgb="FF2E74B5"/>
      </top>
      <bottom style="thin">
        <color theme="4" tint="-0.249977111117893"/>
      </bottom>
      <diagonal/>
    </border>
    <border>
      <left/>
      <right style="medium">
        <color rgb="FF2E74B5"/>
      </right>
      <top style="medium">
        <color rgb="FF2E74B5"/>
      </top>
      <bottom style="thin">
        <color theme="4" tint="-0.249977111117893"/>
      </bottom>
      <diagonal/>
    </border>
    <border>
      <left style="medium">
        <color rgb="FF2E74B5"/>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medium">
        <color theme="4" tint="-0.249977111117893"/>
      </left>
      <right style="medium">
        <color theme="4" tint="-0.249977111117893"/>
      </right>
      <top style="medium">
        <color theme="4" tint="-0.249977111117893"/>
      </top>
      <bottom style="medium">
        <color theme="4" tint="-0.249977111117893"/>
      </bottom>
      <diagonal/>
    </border>
  </borders>
  <cellStyleXfs count="8">
    <xf numFmtId="0" fontId="0" fillId="0" borderId="0"/>
    <xf numFmtId="9" fontId="2" fillId="0" borderId="0" applyFont="0" applyFill="0" applyBorder="0" applyAlignment="0" applyProtection="0"/>
    <xf numFmtId="0" fontId="24" fillId="0" borderId="0"/>
    <xf numFmtId="43" fontId="2" fillId="0" borderId="0" applyFont="0" applyFill="0" applyBorder="0" applyAlignment="0" applyProtection="0"/>
    <xf numFmtId="167" fontId="2" fillId="0" borderId="0" applyFont="0" applyFill="0" applyBorder="0" applyAlignment="0" applyProtection="0"/>
    <xf numFmtId="164" fontId="2" fillId="0" borderId="0" applyFont="0" applyFill="0" applyBorder="0" applyAlignment="0" applyProtection="0"/>
    <xf numFmtId="0" fontId="31" fillId="0" borderId="0"/>
    <xf numFmtId="43" fontId="2" fillId="0" borderId="0" applyFont="0" applyFill="0" applyBorder="0" applyAlignment="0" applyProtection="0"/>
  </cellStyleXfs>
  <cellXfs count="1752">
    <xf numFmtId="0" fontId="0" fillId="0" borderId="0" xfId="0"/>
    <xf numFmtId="0" fontId="3" fillId="0" borderId="0" xfId="0" applyFont="1" applyAlignment="1"/>
    <xf numFmtId="0" fontId="5" fillId="3" borderId="1" xfId="0" applyFont="1" applyFill="1" applyBorder="1" applyAlignment="1">
      <alignment horizontal="left" vertical="center" wrapText="1"/>
    </xf>
    <xf numFmtId="0" fontId="5" fillId="4" borderId="1" xfId="0" applyFont="1" applyFill="1" applyBorder="1" applyAlignment="1">
      <alignment vertical="center" wrapText="1"/>
    </xf>
    <xf numFmtId="9" fontId="8" fillId="3" borderId="8" xfId="0" applyNumberFormat="1" applyFont="1" applyFill="1" applyBorder="1" applyAlignment="1">
      <alignment horizontal="center" vertical="center"/>
    </xf>
    <xf numFmtId="0" fontId="8" fillId="3" borderId="7" xfId="0" applyFont="1" applyFill="1" applyBorder="1" applyAlignment="1">
      <alignment horizontal="left" vertical="center" wrapText="1"/>
    </xf>
    <xf numFmtId="0" fontId="9" fillId="4" borderId="7" xfId="0" applyFont="1" applyFill="1" applyBorder="1" applyAlignment="1">
      <alignment vertical="center" wrapText="1"/>
    </xf>
    <xf numFmtId="0" fontId="11" fillId="4" borderId="7" xfId="0" applyFont="1" applyFill="1" applyBorder="1" applyAlignment="1">
      <alignment horizontal="left" vertical="center" wrapText="1"/>
    </xf>
    <xf numFmtId="0" fontId="10" fillId="3" borderId="6" xfId="0" applyFont="1" applyFill="1" applyBorder="1" applyAlignment="1">
      <alignment horizontal="center" vertical="center" wrapText="1"/>
    </xf>
    <xf numFmtId="0" fontId="10" fillId="3" borderId="8" xfId="0" applyFont="1" applyFill="1" applyBorder="1" applyAlignment="1">
      <alignment horizontal="center" vertical="center" wrapText="1"/>
    </xf>
    <xf numFmtId="3" fontId="8" fillId="3" borderId="7" xfId="0" applyNumberFormat="1" applyFont="1" applyFill="1" applyBorder="1" applyAlignment="1">
      <alignment horizontal="center" vertical="center" wrapText="1"/>
    </xf>
    <xf numFmtId="165" fontId="8" fillId="3" borderId="8" xfId="0" applyNumberFormat="1" applyFont="1" applyFill="1" applyBorder="1" applyAlignment="1">
      <alignment horizontal="center" vertical="center"/>
    </xf>
    <xf numFmtId="3" fontId="0" fillId="0" borderId="0" xfId="0" applyNumberFormat="1"/>
    <xf numFmtId="0" fontId="7" fillId="0" borderId="7" xfId="0" applyFont="1" applyBorder="1" applyAlignment="1">
      <alignment horizontal="left" vertical="center" wrapText="1" indent="1"/>
    </xf>
    <xf numFmtId="3" fontId="8" fillId="0" borderId="8" xfId="0" applyNumberFormat="1" applyFont="1" applyBorder="1" applyAlignment="1">
      <alignment horizontal="center" vertical="center"/>
    </xf>
    <xf numFmtId="3" fontId="13" fillId="0" borderId="8" xfId="0" applyNumberFormat="1" applyFont="1" applyBorder="1" applyAlignment="1">
      <alignment horizontal="center" vertical="center"/>
    </xf>
    <xf numFmtId="0" fontId="14" fillId="0" borderId="9" xfId="0" applyFont="1" applyBorder="1" applyAlignment="1">
      <alignment horizontal="left" vertical="center" wrapText="1" indent="1"/>
    </xf>
    <xf numFmtId="0" fontId="15" fillId="2" borderId="7" xfId="0" applyFont="1" applyFill="1" applyBorder="1" applyAlignment="1">
      <alignment vertical="center" wrapText="1"/>
    </xf>
    <xf numFmtId="3" fontId="10" fillId="2" borderId="8" xfId="0" applyNumberFormat="1" applyFont="1" applyFill="1" applyBorder="1" applyAlignment="1">
      <alignment horizontal="center" vertical="center"/>
    </xf>
    <xf numFmtId="0" fontId="19" fillId="0" borderId="0" xfId="0" applyFont="1" applyBorder="1" applyAlignment="1">
      <alignment horizontal="center" vertical="center" wrapText="1"/>
    </xf>
    <xf numFmtId="0" fontId="8" fillId="4" borderId="7" xfId="0" applyFont="1" applyFill="1" applyBorder="1" applyAlignment="1">
      <alignment horizontal="left" vertical="center" wrapText="1"/>
    </xf>
    <xf numFmtId="0" fontId="9" fillId="4" borderId="1" xfId="0" applyFont="1" applyFill="1" applyBorder="1" applyAlignment="1">
      <alignment vertical="center" wrapText="1"/>
    </xf>
    <xf numFmtId="0" fontId="15" fillId="5" borderId="7" xfId="0" applyFont="1" applyFill="1" applyBorder="1" applyAlignment="1">
      <alignment vertical="center" wrapText="1"/>
    </xf>
    <xf numFmtId="3" fontId="10" fillId="5" borderId="8" xfId="0" applyNumberFormat="1" applyFont="1" applyFill="1" applyBorder="1" applyAlignment="1">
      <alignment horizontal="center" vertical="center"/>
    </xf>
    <xf numFmtId="3" fontId="10" fillId="4" borderId="8" xfId="0" applyNumberFormat="1" applyFont="1" applyFill="1" applyBorder="1" applyAlignment="1">
      <alignment horizontal="center" vertical="center"/>
    </xf>
    <xf numFmtId="0" fontId="17" fillId="3" borderId="7" xfId="0" applyFont="1" applyFill="1" applyBorder="1" applyAlignment="1">
      <alignment vertical="center" wrapText="1"/>
    </xf>
    <xf numFmtId="3" fontId="18" fillId="3" borderId="8" xfId="0" applyNumberFormat="1" applyFont="1" applyFill="1" applyBorder="1" applyAlignment="1">
      <alignment horizontal="center" vertical="center"/>
    </xf>
    <xf numFmtId="165" fontId="18" fillId="0" borderId="8" xfId="0" applyNumberFormat="1" applyFont="1" applyBorder="1" applyAlignment="1">
      <alignment horizontal="center" vertical="center"/>
    </xf>
    <xf numFmtId="0" fontId="12" fillId="0" borderId="7" xfId="0" applyFont="1" applyBorder="1" applyAlignment="1">
      <alignment horizontal="left" vertical="center" wrapText="1" indent="1"/>
    </xf>
    <xf numFmtId="165" fontId="13" fillId="0" borderId="8" xfId="0" applyNumberFormat="1" applyFont="1" applyBorder="1" applyAlignment="1">
      <alignment horizontal="center" vertical="center"/>
    </xf>
    <xf numFmtId="0" fontId="9" fillId="0" borderId="7" xfId="0" applyFont="1" applyBorder="1" applyAlignment="1">
      <alignment horizontal="left" vertical="center" wrapText="1" indent="1"/>
    </xf>
    <xf numFmtId="0" fontId="9" fillId="0" borderId="0" xfId="0" applyFont="1" applyBorder="1" applyAlignment="1">
      <alignment horizontal="left" vertical="center" wrapText="1" indent="1"/>
    </xf>
    <xf numFmtId="3" fontId="8" fillId="0" borderId="0" xfId="0" applyNumberFormat="1" applyFont="1" applyBorder="1" applyAlignment="1">
      <alignment horizontal="center" vertical="center"/>
    </xf>
    <xf numFmtId="0" fontId="19" fillId="0" borderId="0" xfId="0" applyFont="1" applyBorder="1"/>
    <xf numFmtId="0" fontId="9" fillId="0" borderId="0" xfId="0" applyFont="1"/>
    <xf numFmtId="4" fontId="0" fillId="0" borderId="0" xfId="0" applyNumberFormat="1"/>
    <xf numFmtId="0" fontId="25" fillId="3" borderId="1" xfId="0" applyFont="1" applyFill="1" applyBorder="1" applyAlignment="1">
      <alignment horizontal="left" vertical="center" wrapText="1"/>
    </xf>
    <xf numFmtId="0" fontId="25" fillId="4" borderId="1" xfId="0" applyFont="1" applyFill="1" applyBorder="1" applyAlignment="1">
      <alignment vertical="center" wrapText="1"/>
    </xf>
    <xf numFmtId="0" fontId="27" fillId="3" borderId="6" xfId="0" applyFont="1" applyFill="1" applyBorder="1" applyAlignment="1">
      <alignment horizontal="center" vertical="center" wrapText="1"/>
    </xf>
    <xf numFmtId="0" fontId="27" fillId="3" borderId="8" xfId="0" applyFont="1" applyFill="1" applyBorder="1" applyAlignment="1">
      <alignment horizontal="center" vertical="center" wrapText="1"/>
    </xf>
    <xf numFmtId="0" fontId="27" fillId="3" borderId="7" xfId="0" applyFont="1" applyFill="1" applyBorder="1" applyAlignment="1">
      <alignment horizontal="left" vertical="center" wrapText="1"/>
    </xf>
    <xf numFmtId="9" fontId="27" fillId="3" borderId="8" xfId="0" applyNumberFormat="1" applyFont="1" applyFill="1" applyBorder="1" applyAlignment="1">
      <alignment horizontal="center" vertical="center"/>
    </xf>
    <xf numFmtId="0" fontId="25" fillId="4" borderId="7" xfId="0" applyFont="1" applyFill="1" applyBorder="1" applyAlignment="1">
      <alignment vertical="center" wrapText="1"/>
    </xf>
    <xf numFmtId="0" fontId="26" fillId="4" borderId="7" xfId="0" applyFont="1" applyFill="1" applyBorder="1" applyAlignment="1">
      <alignment horizontal="left" vertical="center" wrapText="1"/>
    </xf>
    <xf numFmtId="0" fontId="25" fillId="3" borderId="6" xfId="0" applyFont="1" applyFill="1" applyBorder="1" applyAlignment="1">
      <alignment horizontal="center" vertical="center" wrapText="1"/>
    </xf>
    <xf numFmtId="0" fontId="25" fillId="3" borderId="8" xfId="0" applyFont="1" applyFill="1" applyBorder="1" applyAlignment="1">
      <alignment horizontal="center" vertical="center" wrapText="1"/>
    </xf>
    <xf numFmtId="0" fontId="26" fillId="2" borderId="7" xfId="0" applyFont="1" applyFill="1" applyBorder="1" applyAlignment="1">
      <alignment vertical="center" wrapText="1"/>
    </xf>
    <xf numFmtId="3" fontId="25" fillId="2" borderId="8" xfId="0" applyNumberFormat="1" applyFont="1" applyFill="1" applyBorder="1" applyAlignment="1">
      <alignment horizontal="center" vertical="center"/>
    </xf>
    <xf numFmtId="3" fontId="27" fillId="3" borderId="7" xfId="0" applyNumberFormat="1" applyFont="1" applyFill="1" applyBorder="1" applyAlignment="1">
      <alignment horizontal="center" vertical="center" wrapText="1"/>
    </xf>
    <xf numFmtId="165" fontId="27" fillId="3" borderId="8" xfId="0" applyNumberFormat="1" applyFont="1" applyFill="1" applyBorder="1" applyAlignment="1">
      <alignment horizontal="center" vertical="center"/>
    </xf>
    <xf numFmtId="0" fontId="27" fillId="0" borderId="7" xfId="0" applyFont="1" applyBorder="1" applyAlignment="1">
      <alignment horizontal="left" vertical="center" wrapText="1" indent="1"/>
    </xf>
    <xf numFmtId="3" fontId="27" fillId="0" borderId="8" xfId="0" applyNumberFormat="1" applyFont="1" applyBorder="1" applyAlignment="1">
      <alignment horizontal="center" vertical="center"/>
    </xf>
    <xf numFmtId="0" fontId="30" fillId="0" borderId="9" xfId="0" applyFont="1" applyBorder="1" applyAlignment="1">
      <alignment horizontal="left" vertical="center" wrapText="1" indent="1"/>
    </xf>
    <xf numFmtId="3" fontId="29" fillId="0" borderId="8" xfId="0" applyNumberFormat="1" applyFont="1" applyBorder="1" applyAlignment="1">
      <alignment horizontal="center" vertical="center"/>
    </xf>
    <xf numFmtId="3" fontId="25" fillId="4" borderId="8" xfId="0" applyNumberFormat="1" applyFont="1" applyFill="1" applyBorder="1" applyAlignment="1">
      <alignment horizontal="center" vertical="center"/>
    </xf>
    <xf numFmtId="0" fontId="28" fillId="3" borderId="7" xfId="0" applyFont="1" applyFill="1" applyBorder="1" applyAlignment="1">
      <alignment vertical="center" wrapText="1"/>
    </xf>
    <xf numFmtId="3" fontId="28" fillId="3" borderId="8" xfId="0" applyNumberFormat="1" applyFont="1" applyFill="1" applyBorder="1" applyAlignment="1">
      <alignment horizontal="center" vertical="center"/>
    </xf>
    <xf numFmtId="165" fontId="28" fillId="0" borderId="8" xfId="0" applyNumberFormat="1" applyFont="1" applyBorder="1" applyAlignment="1">
      <alignment horizontal="center" vertical="center"/>
    </xf>
    <xf numFmtId="0" fontId="29" fillId="0" borderId="7" xfId="0" applyFont="1" applyBorder="1" applyAlignment="1">
      <alignment horizontal="left" vertical="center" wrapText="1" indent="1"/>
    </xf>
    <xf numFmtId="165" fontId="29" fillId="0" borderId="8" xfId="0" applyNumberFormat="1" applyFont="1" applyBorder="1" applyAlignment="1">
      <alignment horizontal="center" vertical="center"/>
    </xf>
    <xf numFmtId="0" fontId="25" fillId="0" borderId="7" xfId="0" applyFont="1" applyBorder="1" applyAlignment="1">
      <alignment horizontal="left" vertical="center" wrapText="1" indent="1"/>
    </xf>
    <xf numFmtId="3" fontId="8" fillId="3" borderId="8" xfId="0" applyNumberFormat="1" applyFont="1" applyFill="1" applyBorder="1" applyAlignment="1">
      <alignment horizontal="center" vertical="center"/>
    </xf>
    <xf numFmtId="0" fontId="32" fillId="3" borderId="7" xfId="0" applyFont="1" applyFill="1" applyBorder="1" applyAlignment="1">
      <alignment horizontal="left" vertical="center" wrapText="1"/>
    </xf>
    <xf numFmtId="0" fontId="33" fillId="3" borderId="6" xfId="0" applyFont="1" applyFill="1" applyBorder="1" applyAlignment="1">
      <alignment horizontal="center" vertical="center" wrapText="1"/>
    </xf>
    <xf numFmtId="0" fontId="33" fillId="3" borderId="8" xfId="0" applyFont="1" applyFill="1" applyBorder="1" applyAlignment="1">
      <alignment horizontal="center" vertical="center" wrapText="1"/>
    </xf>
    <xf numFmtId="0" fontId="32" fillId="0" borderId="7" xfId="0" applyFont="1" applyBorder="1" applyAlignment="1">
      <alignment horizontal="left" vertical="center" wrapText="1" indent="1"/>
    </xf>
    <xf numFmtId="0" fontId="34" fillId="0" borderId="9" xfId="0" applyFont="1" applyBorder="1" applyAlignment="1">
      <alignment horizontal="left" vertical="center" wrapText="1" indent="1"/>
    </xf>
    <xf numFmtId="0" fontId="32" fillId="4" borderId="7" xfId="0" applyFont="1" applyFill="1" applyBorder="1" applyAlignment="1">
      <alignment horizontal="left" vertical="center" wrapText="1"/>
    </xf>
    <xf numFmtId="0" fontId="8" fillId="3" borderId="7" xfId="0" applyFont="1" applyFill="1" applyBorder="1" applyAlignment="1">
      <alignment horizontal="center" vertical="center" wrapText="1"/>
    </xf>
    <xf numFmtId="0" fontId="8" fillId="3" borderId="7" xfId="0" applyFont="1" applyFill="1" applyBorder="1" applyAlignment="1">
      <alignment vertical="center" wrapText="1"/>
    </xf>
    <xf numFmtId="0" fontId="27" fillId="3" borderId="7" xfId="0" applyFont="1" applyFill="1" applyBorder="1" applyAlignment="1">
      <alignment horizontal="center" vertical="center" wrapText="1"/>
    </xf>
    <xf numFmtId="0" fontId="27" fillId="3" borderId="7" xfId="0" applyFont="1" applyFill="1" applyBorder="1" applyAlignment="1">
      <alignment vertical="center" wrapText="1"/>
    </xf>
    <xf numFmtId="0" fontId="8" fillId="3" borderId="6"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27" fillId="3" borderId="7" xfId="0" applyFont="1" applyFill="1" applyBorder="1" applyAlignment="1">
      <alignment horizontal="center" vertical="center" wrapText="1"/>
    </xf>
    <xf numFmtId="9" fontId="27" fillId="4" borderId="2" xfId="0" applyNumberFormat="1" applyFont="1" applyFill="1" applyBorder="1" applyAlignment="1">
      <alignment horizontal="center" vertical="center"/>
    </xf>
    <xf numFmtId="9" fontId="27" fillId="4" borderId="3" xfId="0" applyNumberFormat="1" applyFont="1" applyFill="1" applyBorder="1" applyAlignment="1">
      <alignment horizontal="center" vertical="center"/>
    </xf>
    <xf numFmtId="9" fontId="27" fillId="4" borderId="4" xfId="0" applyNumberFormat="1" applyFont="1" applyFill="1" applyBorder="1" applyAlignment="1">
      <alignment horizontal="center" vertical="center"/>
    </xf>
    <xf numFmtId="0" fontId="6" fillId="0" borderId="7" xfId="0" applyFont="1" applyBorder="1" applyAlignment="1">
      <alignment horizontal="left" vertical="center" wrapText="1" indent="1"/>
    </xf>
    <xf numFmtId="0" fontId="27" fillId="4" borderId="7" xfId="0" applyFont="1" applyFill="1" applyBorder="1" applyAlignment="1">
      <alignment vertical="center" wrapText="1"/>
    </xf>
    <xf numFmtId="0" fontId="26" fillId="0" borderId="9" xfId="0" applyFont="1" applyBorder="1" applyAlignment="1">
      <alignment horizontal="left" vertical="center" wrapText="1" indent="1"/>
    </xf>
    <xf numFmtId="0" fontId="26" fillId="4" borderId="7" xfId="0" applyFont="1" applyFill="1" applyBorder="1" applyAlignment="1">
      <alignment vertical="center" wrapText="1"/>
    </xf>
    <xf numFmtId="0" fontId="27" fillId="0" borderId="42" xfId="0" applyFont="1" applyBorder="1" applyAlignment="1">
      <alignment horizontal="left" vertical="center" wrapText="1" indent="1"/>
    </xf>
    <xf numFmtId="0" fontId="29" fillId="0" borderId="43" xfId="0" applyFont="1" applyBorder="1" applyAlignment="1">
      <alignment horizontal="left" vertical="center" wrapText="1" indent="1"/>
    </xf>
    <xf numFmtId="0" fontId="8" fillId="3" borderId="8" xfId="0" applyNumberFormat="1" applyFont="1" applyFill="1" applyBorder="1" applyAlignment="1">
      <alignment horizontal="center" vertical="center"/>
    </xf>
    <xf numFmtId="10" fontId="13" fillId="3" borderId="8" xfId="0" applyNumberFormat="1" applyFont="1" applyFill="1" applyBorder="1" applyAlignment="1">
      <alignment horizontal="center" vertical="center"/>
    </xf>
    <xf numFmtId="10" fontId="8" fillId="0" borderId="8" xfId="0" applyNumberFormat="1" applyFont="1" applyBorder="1" applyAlignment="1">
      <alignment horizontal="center" vertical="center"/>
    </xf>
    <xf numFmtId="0" fontId="3" fillId="0" borderId="0" xfId="0" applyFont="1"/>
    <xf numFmtId="9" fontId="0" fillId="0" borderId="0" xfId="1" applyFont="1"/>
    <xf numFmtId="169" fontId="0" fillId="0" borderId="0" xfId="5" applyNumberFormat="1" applyFont="1"/>
    <xf numFmtId="0" fontId="32" fillId="0" borderId="0" xfId="0" applyFont="1"/>
    <xf numFmtId="0" fontId="39" fillId="0" borderId="0" xfId="0" applyFont="1" applyAlignment="1"/>
    <xf numFmtId="0" fontId="41" fillId="0" borderId="0" xfId="0" applyFont="1"/>
    <xf numFmtId="3" fontId="42" fillId="0" borderId="8" xfId="0" applyNumberFormat="1" applyFont="1" applyBorder="1" applyAlignment="1">
      <alignment horizontal="center" vertical="center"/>
    </xf>
    <xf numFmtId="0" fontId="43" fillId="0" borderId="7" xfId="0" applyFont="1" applyBorder="1" applyAlignment="1">
      <alignment horizontal="left" vertical="center" wrapText="1" indent="1"/>
    </xf>
    <xf numFmtId="3" fontId="43" fillId="2" borderId="8" xfId="0" applyNumberFormat="1" applyFont="1" applyFill="1" applyBorder="1" applyAlignment="1">
      <alignment horizontal="center" vertical="center"/>
    </xf>
    <xf numFmtId="0" fontId="44" fillId="2" borderId="7" xfId="0" applyFont="1" applyFill="1" applyBorder="1" applyAlignment="1">
      <alignment vertical="center" wrapText="1"/>
    </xf>
    <xf numFmtId="165" fontId="45" fillId="0" borderId="8" xfId="0" applyNumberFormat="1" applyFont="1" applyBorder="1" applyAlignment="1">
      <alignment horizontal="center" vertical="center"/>
    </xf>
    <xf numFmtId="3" fontId="45" fillId="0" borderId="8" xfId="0" applyNumberFormat="1" applyFont="1" applyBorder="1" applyAlignment="1">
      <alignment horizontal="center" vertical="center"/>
    </xf>
    <xf numFmtId="0" fontId="45" fillId="0" borderId="7" xfId="0" applyFont="1" applyBorder="1" applyAlignment="1">
      <alignment horizontal="left" vertical="center" wrapText="1" indent="1"/>
    </xf>
    <xf numFmtId="0" fontId="42" fillId="0" borderId="7" xfId="0" applyFont="1" applyBorder="1" applyAlignment="1">
      <alignment horizontal="left" vertical="center" wrapText="1" indent="1"/>
    </xf>
    <xf numFmtId="165" fontId="46" fillId="0" borderId="8" xfId="0" applyNumberFormat="1" applyFont="1" applyBorder="1" applyAlignment="1">
      <alignment horizontal="center" vertical="center"/>
    </xf>
    <xf numFmtId="3" fontId="46" fillId="3" borderId="8" xfId="0" applyNumberFormat="1" applyFont="1" applyFill="1" applyBorder="1" applyAlignment="1">
      <alignment horizontal="center" vertical="center"/>
    </xf>
    <xf numFmtId="0" fontId="46" fillId="3" borderId="7" xfId="0" applyFont="1" applyFill="1" applyBorder="1" applyAlignment="1">
      <alignment vertical="center" wrapText="1"/>
    </xf>
    <xf numFmtId="3" fontId="43" fillId="4" borderId="8" xfId="0" applyNumberFormat="1" applyFont="1" applyFill="1" applyBorder="1" applyAlignment="1">
      <alignment horizontal="center" vertical="center"/>
    </xf>
    <xf numFmtId="0" fontId="43" fillId="4" borderId="7" xfId="0" applyFont="1" applyFill="1" applyBorder="1" applyAlignment="1">
      <alignment vertical="center" wrapText="1"/>
    </xf>
    <xf numFmtId="3" fontId="43" fillId="5" borderId="8" xfId="0" applyNumberFormat="1" applyFont="1" applyFill="1" applyBorder="1" applyAlignment="1">
      <alignment horizontal="center" vertical="center"/>
    </xf>
    <xf numFmtId="0" fontId="44" fillId="5" borderId="7" xfId="0" applyFont="1" applyFill="1" applyBorder="1" applyAlignment="1">
      <alignment vertical="center" wrapText="1"/>
    </xf>
    <xf numFmtId="3" fontId="43" fillId="0" borderId="8" xfId="0" applyNumberFormat="1" applyFont="1" applyBorder="1" applyAlignment="1">
      <alignment horizontal="center" vertical="center"/>
    </xf>
    <xf numFmtId="0" fontId="43" fillId="0" borderId="9" xfId="0" applyFont="1" applyBorder="1" applyAlignment="1">
      <alignment horizontal="left" vertical="center" wrapText="1" indent="1"/>
    </xf>
    <xf numFmtId="3" fontId="42" fillId="3" borderId="8" xfId="0" applyNumberFormat="1" applyFont="1" applyFill="1" applyBorder="1" applyAlignment="1">
      <alignment horizontal="center" vertical="center"/>
    </xf>
    <xf numFmtId="0" fontId="43" fillId="3" borderId="8" xfId="0" applyFont="1" applyFill="1" applyBorder="1" applyAlignment="1">
      <alignment horizontal="center" vertical="center" wrapText="1"/>
    </xf>
    <xf numFmtId="0" fontId="43" fillId="3" borderId="6" xfId="0" applyFont="1" applyFill="1" applyBorder="1" applyAlignment="1">
      <alignment horizontal="center" vertical="center" wrapText="1"/>
    </xf>
    <xf numFmtId="165" fontId="42" fillId="3" borderId="8" xfId="0" applyNumberFormat="1" applyFont="1" applyFill="1" applyBorder="1" applyAlignment="1">
      <alignment horizontal="center" vertical="center"/>
    </xf>
    <xf numFmtId="0" fontId="42" fillId="3" borderId="7" xfId="0" applyFont="1" applyFill="1" applyBorder="1" applyAlignment="1">
      <alignment horizontal="left" vertical="center" wrapText="1"/>
    </xf>
    <xf numFmtId="3" fontId="42" fillId="3" borderId="7" xfId="0" applyNumberFormat="1" applyFont="1" applyFill="1" applyBorder="1" applyAlignment="1">
      <alignment horizontal="center" vertical="center" wrapText="1"/>
    </xf>
    <xf numFmtId="0" fontId="44" fillId="4" borderId="7" xfId="0" applyFont="1" applyFill="1" applyBorder="1" applyAlignment="1">
      <alignment horizontal="left" vertical="center" wrapText="1"/>
    </xf>
    <xf numFmtId="9" fontId="42" fillId="3" borderId="8" xfId="0" applyNumberFormat="1" applyFont="1" applyFill="1" applyBorder="1" applyAlignment="1">
      <alignment horizontal="center" vertical="center"/>
    </xf>
    <xf numFmtId="0" fontId="43" fillId="5" borderId="7" xfId="0" applyFont="1" applyFill="1" applyBorder="1" applyAlignment="1">
      <alignment vertical="center" wrapText="1"/>
    </xf>
    <xf numFmtId="0" fontId="48" fillId="0" borderId="9" xfId="0" applyFont="1" applyBorder="1" applyAlignment="1">
      <alignment horizontal="left" vertical="center" wrapText="1" indent="1"/>
    </xf>
    <xf numFmtId="0" fontId="42" fillId="4" borderId="7" xfId="0" applyFont="1" applyFill="1" applyBorder="1" applyAlignment="1">
      <alignment horizontal="left" vertical="center" wrapText="1"/>
    </xf>
    <xf numFmtId="3" fontId="46" fillId="0" borderId="8" xfId="0" applyNumberFormat="1" applyFont="1" applyBorder="1" applyAlignment="1">
      <alignment horizontal="center" vertical="center"/>
    </xf>
    <xf numFmtId="0" fontId="44" fillId="4" borderId="7" xfId="0" applyFont="1" applyFill="1" applyBorder="1" applyAlignment="1">
      <alignment vertical="center" wrapText="1"/>
    </xf>
    <xf numFmtId="9" fontId="45" fillId="0" borderId="8" xfId="1" applyFont="1" applyBorder="1" applyAlignment="1">
      <alignment horizontal="center" vertical="center"/>
    </xf>
    <xf numFmtId="0" fontId="42" fillId="3" borderId="8" xfId="0" applyFont="1" applyFill="1" applyBorder="1" applyAlignment="1">
      <alignment horizontal="center" vertical="center" wrapText="1"/>
    </xf>
    <xf numFmtId="0" fontId="42" fillId="3" borderId="6" xfId="0" applyFont="1" applyFill="1" applyBorder="1" applyAlignment="1">
      <alignment horizontal="center" vertical="center" wrapText="1"/>
    </xf>
    <xf numFmtId="0" fontId="43" fillId="4" borderId="1" xfId="0" applyFont="1" applyFill="1" applyBorder="1" applyAlignment="1">
      <alignment vertical="center" wrapText="1"/>
    </xf>
    <xf numFmtId="0" fontId="43" fillId="3" borderId="1" xfId="0" applyFont="1" applyFill="1" applyBorder="1" applyAlignment="1">
      <alignment horizontal="left" vertical="center" wrapText="1"/>
    </xf>
    <xf numFmtId="0" fontId="24" fillId="0" borderId="0" xfId="0" applyFont="1"/>
    <xf numFmtId="0" fontId="35" fillId="0" borderId="0" xfId="0" applyFont="1" applyAlignment="1"/>
    <xf numFmtId="9" fontId="27" fillId="3" borderId="7" xfId="1" applyFont="1" applyFill="1" applyBorder="1" applyAlignment="1">
      <alignment horizontal="center" vertical="center" wrapText="1"/>
    </xf>
    <xf numFmtId="4" fontId="24" fillId="0" borderId="0" xfId="0" applyNumberFormat="1" applyFont="1"/>
    <xf numFmtId="3" fontId="24" fillId="0" borderId="0" xfId="0" applyNumberFormat="1" applyFont="1"/>
    <xf numFmtId="0" fontId="27" fillId="4" borderId="7" xfId="0" applyFont="1" applyFill="1" applyBorder="1" applyAlignment="1">
      <alignment horizontal="left" vertical="center" wrapText="1"/>
    </xf>
    <xf numFmtId="0" fontId="27" fillId="3" borderId="8" xfId="0" applyNumberFormat="1" applyFont="1" applyFill="1" applyBorder="1" applyAlignment="1">
      <alignment horizontal="center" vertical="center"/>
    </xf>
    <xf numFmtId="0" fontId="25" fillId="0" borderId="9" xfId="0" applyFont="1" applyBorder="1" applyAlignment="1">
      <alignment horizontal="left" vertical="center" wrapText="1" indent="1"/>
    </xf>
    <xf numFmtId="3" fontId="25" fillId="0" borderId="8" xfId="0" applyNumberFormat="1" applyFont="1" applyBorder="1" applyAlignment="1">
      <alignment horizontal="center" vertical="center"/>
    </xf>
    <xf numFmtId="0" fontId="26" fillId="0" borderId="7" xfId="0" applyFont="1" applyBorder="1" applyAlignment="1">
      <alignment horizontal="left" vertical="center" wrapText="1" indent="1"/>
    </xf>
    <xf numFmtId="0" fontId="26" fillId="2" borderId="14" xfId="0" applyFont="1" applyFill="1" applyBorder="1" applyAlignment="1">
      <alignment vertical="center" wrapText="1"/>
    </xf>
    <xf numFmtId="3" fontId="25" fillId="2" borderId="15" xfId="0" applyNumberFormat="1" applyFont="1" applyFill="1" applyBorder="1" applyAlignment="1">
      <alignment horizontal="center" vertical="center"/>
    </xf>
    <xf numFmtId="0" fontId="26" fillId="5" borderId="7" xfId="0" applyFont="1" applyFill="1" applyBorder="1" applyAlignment="1">
      <alignment vertical="center" wrapText="1"/>
    </xf>
    <xf numFmtId="3" fontId="25" fillId="5" borderId="8" xfId="0" applyNumberFormat="1" applyFont="1" applyFill="1" applyBorder="1" applyAlignment="1">
      <alignment horizontal="center" vertical="center"/>
    </xf>
    <xf numFmtId="3" fontId="27" fillId="0" borderId="0" xfId="0" applyNumberFormat="1" applyFont="1" applyFill="1" applyBorder="1" applyAlignment="1">
      <alignment horizontal="right" vertical="center"/>
    </xf>
    <xf numFmtId="0" fontId="25" fillId="0" borderId="0" xfId="0" applyFont="1" applyBorder="1" applyAlignment="1">
      <alignment horizontal="left" vertical="center" wrapText="1" indent="1"/>
    </xf>
    <xf numFmtId="3" fontId="27" fillId="0" borderId="0" xfId="0" applyNumberFormat="1" applyFont="1" applyBorder="1" applyAlignment="1">
      <alignment horizontal="center" vertical="center"/>
    </xf>
    <xf numFmtId="0" fontId="32" fillId="3" borderId="7" xfId="0" applyFont="1" applyFill="1" applyBorder="1" applyAlignment="1">
      <alignment horizontal="center" vertical="center" wrapText="1"/>
    </xf>
    <xf numFmtId="0" fontId="32" fillId="3" borderId="7" xfId="0" applyFont="1" applyFill="1" applyBorder="1" applyAlignment="1">
      <alignment vertical="center" wrapText="1"/>
    </xf>
    <xf numFmtId="0" fontId="3" fillId="0" borderId="0" xfId="0" applyFont="1" applyAlignment="1">
      <alignment horizontal="center"/>
    </xf>
    <xf numFmtId="0" fontId="42" fillId="3" borderId="7" xfId="0" applyFont="1" applyFill="1" applyBorder="1" applyAlignment="1">
      <alignment horizontal="center" vertical="center" wrapText="1"/>
    </xf>
    <xf numFmtId="0" fontId="42" fillId="3" borderId="7" xfId="0" applyFont="1" applyFill="1" applyBorder="1" applyAlignment="1">
      <alignment vertical="center" wrapText="1"/>
    </xf>
    <xf numFmtId="0" fontId="32" fillId="3" borderId="7" xfId="0" applyFont="1" applyFill="1" applyBorder="1" applyAlignment="1">
      <alignment horizontal="center" vertical="center" wrapText="1"/>
    </xf>
    <xf numFmtId="0" fontId="32" fillId="3" borderId="7" xfId="0" applyFont="1" applyFill="1" applyBorder="1" applyAlignment="1">
      <alignment vertical="center" wrapText="1"/>
    </xf>
    <xf numFmtId="0" fontId="0" fillId="0" borderId="0" xfId="0" applyFont="1"/>
    <xf numFmtId="0" fontId="33" fillId="3" borderId="1" xfId="0" applyFont="1" applyFill="1" applyBorder="1" applyAlignment="1">
      <alignment horizontal="left" vertical="center" wrapText="1"/>
    </xf>
    <xf numFmtId="0" fontId="33" fillId="4" borderId="1" xfId="0" applyFont="1" applyFill="1" applyBorder="1" applyAlignment="1">
      <alignment vertical="center" wrapText="1"/>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9" fontId="32" fillId="3" borderId="8" xfId="0" applyNumberFormat="1" applyFont="1" applyFill="1" applyBorder="1" applyAlignment="1">
      <alignment horizontal="center" vertical="center"/>
    </xf>
    <xf numFmtId="0" fontId="33" fillId="4" borderId="7" xfId="0" applyFont="1" applyFill="1" applyBorder="1" applyAlignment="1">
      <alignment vertical="center" wrapText="1"/>
    </xf>
    <xf numFmtId="4" fontId="0" fillId="0" borderId="0" xfId="0" applyNumberFormat="1" applyFont="1"/>
    <xf numFmtId="0" fontId="52" fillId="4" borderId="7" xfId="0" applyFont="1" applyFill="1" applyBorder="1" applyAlignment="1">
      <alignment horizontal="left" vertical="center" wrapText="1"/>
    </xf>
    <xf numFmtId="3" fontId="32" fillId="3" borderId="7" xfId="0" applyNumberFormat="1" applyFont="1" applyFill="1" applyBorder="1" applyAlignment="1">
      <alignment horizontal="center" vertical="center" wrapText="1"/>
    </xf>
    <xf numFmtId="165" fontId="32" fillId="3" borderId="8" xfId="0" applyNumberFormat="1" applyFont="1" applyFill="1" applyBorder="1" applyAlignment="1">
      <alignment horizontal="center" vertical="center"/>
    </xf>
    <xf numFmtId="3" fontId="0" fillId="0" borderId="0" xfId="0" applyNumberFormat="1" applyFont="1"/>
    <xf numFmtId="3" fontId="32" fillId="0" borderId="8" xfId="0" applyNumberFormat="1" applyFont="1" applyBorder="1" applyAlignment="1">
      <alignment horizontal="center" vertical="center"/>
    </xf>
    <xf numFmtId="3" fontId="53" fillId="0" borderId="8" xfId="0" applyNumberFormat="1" applyFont="1" applyBorder="1" applyAlignment="1">
      <alignment horizontal="center" vertical="center"/>
    </xf>
    <xf numFmtId="0" fontId="52" fillId="2" borderId="7" xfId="0" applyFont="1" applyFill="1" applyBorder="1" applyAlignment="1">
      <alignment vertical="center" wrapText="1"/>
    </xf>
    <xf numFmtId="3" fontId="33" fillId="2" borderId="8" xfId="0" applyNumberFormat="1" applyFont="1" applyFill="1" applyBorder="1" applyAlignment="1">
      <alignment horizontal="center" vertical="center"/>
    </xf>
    <xf numFmtId="0" fontId="33" fillId="3" borderId="7" xfId="0" applyFont="1" applyFill="1" applyBorder="1" applyAlignment="1">
      <alignment vertical="center" wrapText="1"/>
    </xf>
    <xf numFmtId="0" fontId="54" fillId="3" borderId="7" xfId="0" applyFont="1" applyFill="1" applyBorder="1" applyAlignment="1">
      <alignment vertical="center" wrapText="1"/>
    </xf>
    <xf numFmtId="3" fontId="32" fillId="3" borderId="13" xfId="0" applyNumberFormat="1" applyFont="1" applyFill="1" applyBorder="1" applyAlignment="1">
      <alignment horizontal="center" vertical="center" wrapText="1"/>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2" fillId="3" borderId="15" xfId="0" applyFont="1" applyFill="1" applyBorder="1" applyAlignment="1">
      <alignment horizontal="center" vertical="center" wrapText="1"/>
    </xf>
    <xf numFmtId="0" fontId="52" fillId="5" borderId="7" xfId="0" applyFont="1" applyFill="1" applyBorder="1" applyAlignment="1">
      <alignment vertical="center" wrapText="1"/>
    </xf>
    <xf numFmtId="3" fontId="33" fillId="5" borderId="8" xfId="0" applyNumberFormat="1" applyFont="1" applyFill="1" applyBorder="1" applyAlignment="1">
      <alignment horizontal="center" vertical="center"/>
    </xf>
    <xf numFmtId="3" fontId="33" fillId="4" borderId="8" xfId="0" applyNumberFormat="1" applyFont="1" applyFill="1" applyBorder="1" applyAlignment="1">
      <alignment horizontal="center" vertical="center"/>
    </xf>
    <xf numFmtId="0" fontId="55" fillId="3" borderId="7" xfId="0" applyFont="1" applyFill="1" applyBorder="1" applyAlignment="1">
      <alignment vertical="center" wrapText="1"/>
    </xf>
    <xf numFmtId="3" fontId="55" fillId="3" borderId="8" xfId="0" applyNumberFormat="1" applyFont="1" applyFill="1" applyBorder="1" applyAlignment="1">
      <alignment horizontal="center" vertical="center"/>
    </xf>
    <xf numFmtId="165" fontId="55" fillId="0" borderId="8" xfId="0" applyNumberFormat="1" applyFont="1" applyBorder="1" applyAlignment="1">
      <alignment horizontal="center" vertical="center"/>
    </xf>
    <xf numFmtId="0" fontId="53" fillId="0" borderId="7" xfId="0" applyFont="1" applyBorder="1" applyAlignment="1">
      <alignment horizontal="left" vertical="center" wrapText="1" indent="1"/>
    </xf>
    <xf numFmtId="165" fontId="53" fillId="0" borderId="8" xfId="0" applyNumberFormat="1" applyFont="1" applyBorder="1" applyAlignment="1">
      <alignment horizontal="center" vertical="center"/>
    </xf>
    <xf numFmtId="0" fontId="33" fillId="0" borderId="7" xfId="0" applyFont="1" applyBorder="1" applyAlignment="1">
      <alignment horizontal="left" vertical="center" wrapText="1" indent="1"/>
    </xf>
    <xf numFmtId="0" fontId="33" fillId="0" borderId="0" xfId="0" applyFont="1" applyBorder="1" applyAlignment="1">
      <alignment horizontal="left" vertical="center" wrapText="1" indent="1"/>
    </xf>
    <xf numFmtId="3" fontId="32" fillId="0" borderId="0" xfId="0" applyNumberFormat="1" applyFont="1" applyBorder="1" applyAlignment="1">
      <alignment horizontal="center" vertical="center"/>
    </xf>
    <xf numFmtId="0" fontId="16" fillId="0" borderId="16" xfId="0" applyFont="1" applyBorder="1"/>
    <xf numFmtId="0" fontId="16" fillId="0" borderId="18" xfId="0" applyFont="1" applyBorder="1"/>
    <xf numFmtId="0" fontId="16" fillId="0" borderId="19" xfId="0" applyFont="1" applyBorder="1"/>
    <xf numFmtId="0" fontId="16" fillId="0" borderId="0" xfId="0" applyFont="1" applyBorder="1"/>
    <xf numFmtId="0" fontId="33" fillId="0" borderId="0" xfId="0" applyFont="1"/>
    <xf numFmtId="0" fontId="16" fillId="0" borderId="0" xfId="0" applyFont="1" applyBorder="1" applyAlignment="1">
      <alignment horizontal="center" vertical="center" wrapText="1"/>
    </xf>
    <xf numFmtId="3" fontId="32" fillId="3" borderId="8" xfId="1" applyNumberFormat="1" applyFont="1" applyFill="1" applyBorder="1" applyAlignment="1">
      <alignment horizontal="center" vertical="center"/>
    </xf>
    <xf numFmtId="9" fontId="32" fillId="3" borderId="8" xfId="1" applyNumberFormat="1" applyFont="1" applyFill="1" applyBorder="1" applyAlignment="1">
      <alignment horizontal="center" vertical="center"/>
    </xf>
    <xf numFmtId="3" fontId="32" fillId="0" borderId="7" xfId="0" applyNumberFormat="1" applyFont="1" applyFill="1" applyBorder="1" applyAlignment="1">
      <alignment horizontal="center" vertical="center" wrapText="1"/>
    </xf>
    <xf numFmtId="0" fontId="32" fillId="4" borderId="7" xfId="0" applyFont="1" applyFill="1" applyBorder="1" applyAlignment="1">
      <alignment vertical="center" wrapText="1"/>
    </xf>
    <xf numFmtId="0" fontId="52" fillId="0" borderId="9" xfId="0" applyFont="1" applyBorder="1" applyAlignment="1">
      <alignment horizontal="left" vertical="center" wrapText="1" indent="1"/>
    </xf>
    <xf numFmtId="0" fontId="32" fillId="4" borderId="1" xfId="0" applyFont="1" applyFill="1" applyBorder="1" applyAlignment="1">
      <alignment horizontal="left" vertical="center" wrapText="1"/>
    </xf>
    <xf numFmtId="0" fontId="33" fillId="0" borderId="1" xfId="0" applyFont="1" applyFill="1" applyBorder="1" applyAlignment="1">
      <alignment horizontal="left" vertical="center" wrapText="1"/>
    </xf>
    <xf numFmtId="0" fontId="34" fillId="0" borderId="9" xfId="0" applyFont="1" applyFill="1" applyBorder="1" applyAlignment="1">
      <alignment horizontal="left" vertical="center" wrapText="1" indent="1"/>
    </xf>
    <xf numFmtId="3" fontId="53" fillId="0" borderId="15" xfId="0" applyNumberFormat="1" applyFont="1" applyFill="1" applyBorder="1" applyAlignment="1">
      <alignment horizontal="center" vertical="center"/>
    </xf>
    <xf numFmtId="3" fontId="53" fillId="0" borderId="8" xfId="0" applyNumberFormat="1" applyFont="1" applyFill="1" applyBorder="1" applyAlignment="1">
      <alignment horizontal="center" vertical="center"/>
    </xf>
    <xf numFmtId="0" fontId="0" fillId="0" borderId="0" xfId="0" applyFont="1" applyFill="1"/>
    <xf numFmtId="3" fontId="32" fillId="3" borderId="8" xfId="0" applyNumberFormat="1" applyFont="1" applyFill="1" applyBorder="1" applyAlignment="1">
      <alignment horizontal="center" vertical="center"/>
    </xf>
    <xf numFmtId="0" fontId="33" fillId="0" borderId="9" xfId="0" applyFont="1" applyBorder="1" applyAlignment="1">
      <alignment horizontal="left" vertical="center" wrapText="1" indent="1"/>
    </xf>
    <xf numFmtId="3" fontId="33" fillId="0" borderId="8" xfId="0" applyNumberFormat="1" applyFont="1" applyBorder="1" applyAlignment="1">
      <alignment horizontal="center" vertical="center"/>
    </xf>
    <xf numFmtId="0" fontId="52" fillId="2" borderId="20" xfId="0" applyFont="1" applyFill="1" applyBorder="1"/>
    <xf numFmtId="0" fontId="56" fillId="0" borderId="0" xfId="0" applyFont="1" applyAlignment="1">
      <alignment horizontal="left" wrapText="1"/>
    </xf>
    <xf numFmtId="0" fontId="56" fillId="0" borderId="0" xfId="0" applyFont="1" applyAlignment="1">
      <alignment wrapText="1"/>
    </xf>
    <xf numFmtId="49" fontId="33" fillId="4" borderId="7" xfId="0" applyNumberFormat="1" applyFont="1" applyFill="1" applyBorder="1" applyAlignment="1">
      <alignment vertical="center" wrapText="1"/>
    </xf>
    <xf numFmtId="10" fontId="32" fillId="3" borderId="8" xfId="0" applyNumberFormat="1" applyFont="1" applyFill="1" applyBorder="1" applyAlignment="1">
      <alignment horizontal="center" vertical="center" wrapText="1"/>
    </xf>
    <xf numFmtId="49" fontId="32" fillId="3" borderId="8" xfId="0" applyNumberFormat="1" applyFont="1" applyFill="1" applyBorder="1" applyAlignment="1">
      <alignment horizontal="center" vertical="center" wrapText="1"/>
    </xf>
    <xf numFmtId="3" fontId="33" fillId="2" borderId="6" xfId="0" applyNumberFormat="1" applyFont="1" applyFill="1" applyBorder="1" applyAlignment="1">
      <alignment horizontal="center" vertical="center"/>
    </xf>
    <xf numFmtId="0" fontId="52" fillId="3" borderId="7" xfId="0" applyFont="1" applyFill="1" applyBorder="1" applyAlignment="1">
      <alignment horizontal="left" vertical="center" wrapText="1"/>
    </xf>
    <xf numFmtId="3" fontId="33" fillId="2" borderId="29" xfId="0" applyNumberFormat="1" applyFont="1" applyFill="1" applyBorder="1" applyAlignment="1">
      <alignment horizontal="center" vertical="center"/>
    </xf>
    <xf numFmtId="3" fontId="33" fillId="2" borderId="50" xfId="0" applyNumberFormat="1" applyFont="1" applyFill="1" applyBorder="1" applyAlignment="1">
      <alignment horizontal="center" vertical="center"/>
    </xf>
    <xf numFmtId="0" fontId="52" fillId="6" borderId="7" xfId="0" applyFont="1" applyFill="1" applyBorder="1" applyAlignment="1">
      <alignment vertical="center" wrapText="1"/>
    </xf>
    <xf numFmtId="3" fontId="33" fillId="6" borderId="8" xfId="0" applyNumberFormat="1" applyFont="1" applyFill="1" applyBorder="1" applyAlignment="1">
      <alignment horizontal="center" vertical="center"/>
    </xf>
    <xf numFmtId="0" fontId="52" fillId="4" borderId="7" xfId="0" applyFont="1" applyFill="1" applyBorder="1" applyAlignment="1">
      <alignment vertical="center" wrapText="1"/>
    </xf>
    <xf numFmtId="3" fontId="55" fillId="0" borderId="8" xfId="0" applyNumberFormat="1" applyFont="1" applyBorder="1" applyAlignment="1">
      <alignment horizontal="center" vertical="center"/>
    </xf>
    <xf numFmtId="0" fontId="52" fillId="5" borderId="14" xfId="0" applyFont="1" applyFill="1" applyBorder="1" applyAlignment="1">
      <alignment vertical="center" wrapText="1"/>
    </xf>
    <xf numFmtId="3" fontId="33" fillId="5" borderId="17" xfId="0" applyNumberFormat="1" applyFont="1" applyFill="1" applyBorder="1" applyAlignment="1">
      <alignment horizontal="center" vertical="center"/>
    </xf>
    <xf numFmtId="0" fontId="32" fillId="3" borderId="15" xfId="0" applyFont="1" applyFill="1" applyBorder="1" applyAlignment="1">
      <alignment horizontal="center" vertical="center"/>
    </xf>
    <xf numFmtId="0" fontId="32" fillId="3" borderId="8" xfId="0" applyFont="1" applyFill="1" applyBorder="1" applyAlignment="1">
      <alignment horizontal="center" vertical="center"/>
    </xf>
    <xf numFmtId="0" fontId="33" fillId="4" borderId="9" xfId="0" applyFont="1" applyFill="1" applyBorder="1" applyAlignment="1">
      <alignment vertical="center" wrapText="1"/>
    </xf>
    <xf numFmtId="49" fontId="32" fillId="3" borderId="55" xfId="0" applyNumberFormat="1" applyFont="1" applyFill="1" applyBorder="1" applyAlignment="1">
      <alignment horizontal="center" vertical="center" wrapText="1"/>
    </xf>
    <xf numFmtId="0" fontId="52" fillId="3" borderId="7" xfId="0" applyFont="1" applyFill="1" applyBorder="1" applyAlignment="1">
      <alignment vertical="center" wrapText="1"/>
    </xf>
    <xf numFmtId="3" fontId="33" fillId="3" borderId="8" xfId="0" applyNumberFormat="1" applyFont="1" applyFill="1" applyBorder="1" applyAlignment="1">
      <alignment horizontal="center" vertical="center"/>
    </xf>
    <xf numFmtId="3" fontId="32" fillId="0" borderId="6" xfId="0" applyNumberFormat="1" applyFont="1" applyBorder="1" applyAlignment="1">
      <alignment horizontal="center" vertical="center"/>
    </xf>
    <xf numFmtId="0" fontId="32" fillId="0" borderId="7" xfId="0" applyFont="1" applyFill="1" applyBorder="1" applyAlignment="1">
      <alignment horizontal="left" vertical="center" wrapText="1"/>
    </xf>
    <xf numFmtId="0" fontId="52" fillId="0" borderId="7" xfId="0" applyFont="1" applyFill="1" applyBorder="1" applyAlignment="1">
      <alignment horizontal="left" vertical="center" wrapText="1"/>
    </xf>
    <xf numFmtId="0" fontId="33" fillId="0" borderId="6" xfId="0" applyFont="1" applyFill="1" applyBorder="1" applyAlignment="1">
      <alignment horizontal="center" vertical="center" wrapText="1"/>
    </xf>
    <xf numFmtId="0" fontId="33"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165" fontId="32" fillId="0" borderId="8" xfId="0" applyNumberFormat="1" applyFont="1" applyFill="1" applyBorder="1" applyAlignment="1">
      <alignment horizontal="center" vertical="center"/>
    </xf>
    <xf numFmtId="0" fontId="32" fillId="0" borderId="7" xfId="0" applyFont="1" applyFill="1" applyBorder="1" applyAlignment="1">
      <alignment horizontal="left" vertical="center" wrapText="1" indent="1"/>
    </xf>
    <xf numFmtId="3" fontId="32" fillId="0" borderId="8" xfId="0" applyNumberFormat="1" applyFont="1" applyFill="1" applyBorder="1" applyAlignment="1">
      <alignment horizontal="center" vertical="center"/>
    </xf>
    <xf numFmtId="9" fontId="60" fillId="3" borderId="8" xfId="0" applyNumberFormat="1" applyFont="1" applyFill="1" applyBorder="1" applyAlignment="1">
      <alignment horizontal="center" vertical="center"/>
    </xf>
    <xf numFmtId="0" fontId="51" fillId="3" borderId="7" xfId="0" applyFont="1" applyFill="1" applyBorder="1" applyAlignment="1">
      <alignment vertical="center" wrapText="1"/>
    </xf>
    <xf numFmtId="9" fontId="51" fillId="3" borderId="8" xfId="0" applyNumberFormat="1" applyFont="1" applyFill="1" applyBorder="1" applyAlignment="1">
      <alignment horizontal="center" vertical="center"/>
    </xf>
    <xf numFmtId="3" fontId="50" fillId="3" borderId="7" xfId="0" applyNumberFormat="1" applyFont="1" applyFill="1" applyBorder="1" applyAlignment="1">
      <alignment horizontal="center" vertical="center" wrapText="1"/>
    </xf>
    <xf numFmtId="3" fontId="62" fillId="0" borderId="8" xfId="0" applyNumberFormat="1" applyFont="1" applyBorder="1" applyAlignment="1">
      <alignment horizontal="center" vertical="center"/>
    </xf>
    <xf numFmtId="0" fontId="50" fillId="3" borderId="7" xfId="0" applyFont="1" applyFill="1" applyBorder="1" applyAlignment="1">
      <alignment horizontal="center" vertical="center" wrapText="1"/>
    </xf>
    <xf numFmtId="3" fontId="53" fillId="3" borderId="8" xfId="0" applyNumberFormat="1" applyFont="1" applyFill="1" applyBorder="1" applyAlignment="1">
      <alignment horizontal="center" vertical="center"/>
    </xf>
    <xf numFmtId="9" fontId="63" fillId="3" borderId="8" xfId="0" applyNumberFormat="1" applyFont="1" applyFill="1" applyBorder="1" applyAlignment="1">
      <alignment horizontal="center" vertical="center"/>
    </xf>
    <xf numFmtId="3" fontId="60" fillId="3" borderId="7" xfId="0" applyNumberFormat="1" applyFont="1" applyFill="1" applyBorder="1" applyAlignment="1">
      <alignment horizontal="center" vertical="center" wrapText="1"/>
    </xf>
    <xf numFmtId="0" fontId="52" fillId="7" borderId="7" xfId="0" applyFont="1" applyFill="1" applyBorder="1" applyAlignment="1">
      <alignment horizontal="left" vertical="center" wrapText="1"/>
    </xf>
    <xf numFmtId="0" fontId="64" fillId="3" borderId="56" xfId="6" applyFont="1" applyFill="1" applyBorder="1" applyAlignment="1">
      <alignment horizontal="center" wrapText="1"/>
    </xf>
    <xf numFmtId="166" fontId="32" fillId="3" borderId="7" xfId="0" applyNumberFormat="1" applyFont="1" applyFill="1" applyBorder="1" applyAlignment="1">
      <alignment horizontal="center" vertical="center" wrapText="1"/>
    </xf>
    <xf numFmtId="0" fontId="32" fillId="4" borderId="7" xfId="0" applyFont="1" applyFill="1" applyBorder="1" applyAlignment="1">
      <alignment horizontal="center" wrapText="1"/>
    </xf>
    <xf numFmtId="1" fontId="32" fillId="3" borderId="8" xfId="0" applyNumberFormat="1" applyFont="1" applyFill="1" applyBorder="1" applyAlignment="1">
      <alignment horizontal="center" vertical="center"/>
    </xf>
    <xf numFmtId="0" fontId="16" fillId="4" borderId="7" xfId="0" applyFont="1" applyFill="1" applyBorder="1" applyAlignment="1">
      <alignment vertical="center" wrapText="1"/>
    </xf>
    <xf numFmtId="1" fontId="51" fillId="3" borderId="8" xfId="0" applyNumberFormat="1" applyFont="1" applyFill="1" applyBorder="1" applyAlignment="1">
      <alignment horizontal="center" vertical="center"/>
    </xf>
    <xf numFmtId="4" fontId="32" fillId="3" borderId="7" xfId="0" applyNumberFormat="1" applyFont="1" applyFill="1" applyBorder="1" applyAlignment="1">
      <alignment horizontal="center" vertical="center" wrapText="1"/>
    </xf>
    <xf numFmtId="0" fontId="16" fillId="0" borderId="0" xfId="0" applyFont="1" applyBorder="1" applyAlignment="1">
      <alignment horizontal="center" vertical="justify" wrapText="1"/>
    </xf>
    <xf numFmtId="0" fontId="65" fillId="3" borderId="7" xfId="0" applyFont="1" applyFill="1" applyBorder="1" applyAlignment="1">
      <alignment vertical="center"/>
    </xf>
    <xf numFmtId="0" fontId="66" fillId="3" borderId="7" xfId="0" applyFont="1" applyFill="1" applyBorder="1" applyAlignment="1">
      <alignment horizontal="left" vertical="center"/>
    </xf>
    <xf numFmtId="0" fontId="67" fillId="3" borderId="7" xfId="0" applyFont="1" applyFill="1" applyBorder="1" applyAlignment="1">
      <alignment vertical="center" wrapText="1"/>
    </xf>
    <xf numFmtId="0" fontId="67" fillId="3" borderId="7" xfId="0" applyFont="1" applyFill="1" applyBorder="1" applyAlignment="1">
      <alignment horizontal="left" vertical="center" wrapText="1"/>
    </xf>
    <xf numFmtId="0" fontId="68" fillId="4" borderId="2" xfId="0" applyFont="1" applyFill="1" applyBorder="1" applyAlignment="1">
      <alignment horizontal="left" vertical="top"/>
    </xf>
    <xf numFmtId="0" fontId="68" fillId="4" borderId="3" xfId="0" applyFont="1" applyFill="1" applyBorder="1" applyAlignment="1">
      <alignment horizontal="center" vertical="center"/>
    </xf>
    <xf numFmtId="0" fontId="68" fillId="4" borderId="4" xfId="0" applyFont="1" applyFill="1" applyBorder="1" applyAlignment="1">
      <alignment horizontal="center" vertical="center"/>
    </xf>
    <xf numFmtId="0" fontId="33" fillId="3" borderId="57" xfId="0" applyFont="1" applyFill="1" applyBorder="1" applyAlignment="1">
      <alignment horizontal="left" vertical="center" wrapText="1"/>
    </xf>
    <xf numFmtId="0" fontId="33" fillId="3" borderId="59" xfId="0" applyFont="1" applyFill="1" applyBorder="1" applyAlignment="1">
      <alignment horizontal="left" vertical="center" wrapText="1"/>
    </xf>
    <xf numFmtId="0" fontId="32" fillId="0" borderId="60" xfId="0" applyFont="1" applyBorder="1" applyAlignment="1">
      <alignment vertical="center" wrapText="1"/>
    </xf>
    <xf numFmtId="0" fontId="32" fillId="0" borderId="3" xfId="0" applyFont="1" applyBorder="1" applyAlignment="1">
      <alignment vertical="center" wrapText="1"/>
    </xf>
    <xf numFmtId="0" fontId="32" fillId="0" borderId="34" xfId="0" applyFont="1" applyBorder="1" applyAlignment="1">
      <alignment vertical="center" wrapText="1"/>
    </xf>
    <xf numFmtId="0" fontId="33" fillId="4" borderId="59" xfId="0" applyFont="1" applyFill="1" applyBorder="1" applyAlignment="1">
      <alignment vertical="center" wrapText="1"/>
    </xf>
    <xf numFmtId="0" fontId="32" fillId="3" borderId="32" xfId="0" applyFont="1" applyFill="1" applyBorder="1" applyAlignment="1">
      <alignment horizontal="center" vertical="center" wrapText="1"/>
    </xf>
    <xf numFmtId="0" fontId="32" fillId="3" borderId="30" xfId="0" applyFont="1" applyFill="1" applyBorder="1" applyAlignment="1">
      <alignment horizontal="center" vertical="center" wrapText="1"/>
    </xf>
    <xf numFmtId="0" fontId="32" fillId="3" borderId="62" xfId="0" applyFont="1" applyFill="1" applyBorder="1" applyAlignment="1">
      <alignment vertical="center" wrapText="1"/>
    </xf>
    <xf numFmtId="9" fontId="32" fillId="3" borderId="30" xfId="0" applyNumberFormat="1" applyFont="1" applyFill="1" applyBorder="1" applyAlignment="1">
      <alignment horizontal="center" vertical="center"/>
    </xf>
    <xf numFmtId="0" fontId="32" fillId="3" borderId="62" xfId="0" applyFont="1" applyFill="1" applyBorder="1" applyAlignment="1">
      <alignment horizontal="left" vertical="center" wrapText="1"/>
    </xf>
    <xf numFmtId="0" fontId="33" fillId="4" borderId="62" xfId="0" applyFont="1" applyFill="1" applyBorder="1" applyAlignment="1">
      <alignment vertical="center" wrapText="1"/>
    </xf>
    <xf numFmtId="0" fontId="16" fillId="4" borderId="62" xfId="0" applyFont="1" applyFill="1" applyBorder="1" applyAlignment="1">
      <alignment horizontal="left" vertical="center" wrapText="1"/>
    </xf>
    <xf numFmtId="0" fontId="33" fillId="3" borderId="32" xfId="0" applyFont="1" applyFill="1" applyBorder="1" applyAlignment="1">
      <alignment horizontal="center" vertical="center" wrapText="1"/>
    </xf>
    <xf numFmtId="0" fontId="33" fillId="3" borderId="30" xfId="0" applyFont="1" applyFill="1" applyBorder="1" applyAlignment="1">
      <alignment horizontal="center" vertical="center" wrapText="1"/>
    </xf>
    <xf numFmtId="0" fontId="32" fillId="3" borderId="63" xfId="0" applyFont="1" applyFill="1" applyBorder="1" applyAlignment="1">
      <alignment horizontal="left" vertical="center" wrapText="1"/>
    </xf>
    <xf numFmtId="3" fontId="51" fillId="3" borderId="64" xfId="0" applyNumberFormat="1" applyFont="1" applyFill="1" applyBorder="1" applyAlignment="1">
      <alignment horizontal="center" vertical="center" wrapText="1"/>
    </xf>
    <xf numFmtId="3" fontId="51" fillId="3" borderId="65" xfId="0" applyNumberFormat="1" applyFont="1" applyFill="1" applyBorder="1" applyAlignment="1">
      <alignment horizontal="center" vertical="center" wrapText="1"/>
    </xf>
    <xf numFmtId="0" fontId="32" fillId="3" borderId="57" xfId="0" applyFont="1" applyFill="1" applyBorder="1" applyAlignment="1">
      <alignment horizontal="left" vertical="center" wrapText="1"/>
    </xf>
    <xf numFmtId="3" fontId="32" fillId="3" borderId="31" xfId="0" applyNumberFormat="1" applyFont="1" applyFill="1" applyBorder="1" applyAlignment="1">
      <alignment horizontal="center" vertical="center" wrapText="1"/>
    </xf>
    <xf numFmtId="3" fontId="32" fillId="3" borderId="58" xfId="0" applyNumberFormat="1" applyFont="1" applyFill="1" applyBorder="1" applyAlignment="1">
      <alignment horizontal="center" vertical="center" wrapText="1"/>
    </xf>
    <xf numFmtId="3" fontId="32" fillId="3" borderId="36" xfId="0" applyNumberFormat="1" applyFont="1" applyFill="1" applyBorder="1" applyAlignment="1">
      <alignment horizontal="center" vertical="center" wrapText="1"/>
    </xf>
    <xf numFmtId="165" fontId="32" fillId="3" borderId="30" xfId="0" applyNumberFormat="1" applyFont="1" applyFill="1" applyBorder="1" applyAlignment="1">
      <alignment horizontal="center" vertical="center"/>
    </xf>
    <xf numFmtId="0" fontId="32" fillId="0" borderId="62" xfId="0" applyFont="1" applyBorder="1" applyAlignment="1">
      <alignment horizontal="left" vertical="center" wrapText="1" indent="1"/>
    </xf>
    <xf numFmtId="3" fontId="32" fillId="3" borderId="30" xfId="0" applyNumberFormat="1" applyFont="1" applyFill="1" applyBorder="1" applyAlignment="1">
      <alignment horizontal="center" vertical="center"/>
    </xf>
    <xf numFmtId="0" fontId="53" fillId="0" borderId="62" xfId="0" applyFont="1" applyBorder="1" applyAlignment="1">
      <alignment horizontal="left" vertical="center" wrapText="1" indent="1"/>
    </xf>
    <xf numFmtId="9" fontId="53" fillId="0" borderId="8" xfId="1" applyFont="1" applyBorder="1" applyAlignment="1">
      <alignment horizontal="center" vertical="center"/>
    </xf>
    <xf numFmtId="9" fontId="53" fillId="0" borderId="30" xfId="1" applyFont="1" applyBorder="1" applyAlignment="1">
      <alignment horizontal="center" vertical="center"/>
    </xf>
    <xf numFmtId="165" fontId="53" fillId="0" borderId="30" xfId="0" applyNumberFormat="1" applyFont="1" applyBorder="1" applyAlignment="1">
      <alignment horizontal="center" vertical="center"/>
    </xf>
    <xf numFmtId="3" fontId="32" fillId="0" borderId="30" xfId="0" applyNumberFormat="1" applyFont="1" applyBorder="1" applyAlignment="1">
      <alignment horizontal="center" vertical="center"/>
    </xf>
    <xf numFmtId="3" fontId="53" fillId="3" borderId="30" xfId="0" applyNumberFormat="1" applyFont="1" applyFill="1" applyBorder="1" applyAlignment="1">
      <alignment horizontal="center" vertical="center"/>
    </xf>
    <xf numFmtId="9" fontId="32" fillId="0" borderId="8" xfId="1" applyFont="1" applyBorder="1" applyAlignment="1">
      <alignment horizontal="center" vertical="center"/>
    </xf>
    <xf numFmtId="9" fontId="32" fillId="0" borderId="30" xfId="1" applyFont="1" applyBorder="1" applyAlignment="1">
      <alignment horizontal="center" vertical="center"/>
    </xf>
    <xf numFmtId="0" fontId="32" fillId="0" borderId="63" xfId="0" applyFont="1" applyBorder="1" applyAlignment="1">
      <alignment horizontal="left" vertical="center" wrapText="1" indent="1"/>
    </xf>
    <xf numFmtId="3" fontId="53" fillId="0" borderId="66" xfId="0" applyNumberFormat="1" applyFont="1" applyBorder="1" applyAlignment="1">
      <alignment horizontal="center" vertical="center"/>
    </xf>
    <xf numFmtId="3" fontId="32" fillId="0" borderId="66" xfId="0" applyNumberFormat="1" applyFont="1" applyBorder="1" applyAlignment="1">
      <alignment horizontal="center" vertical="center"/>
    </xf>
    <xf numFmtId="3" fontId="32" fillId="0" borderId="49" xfId="0" applyNumberFormat="1" applyFont="1" applyBorder="1" applyAlignment="1">
      <alignment horizontal="center" vertical="center"/>
    </xf>
    <xf numFmtId="0" fontId="53" fillId="0" borderId="57" xfId="0" applyFont="1" applyBorder="1" applyAlignment="1">
      <alignment horizontal="left" vertical="center" wrapText="1" indent="1"/>
    </xf>
    <xf numFmtId="3" fontId="53" fillId="0" borderId="55" xfId="0" applyNumberFormat="1" applyFont="1" applyBorder="1" applyAlignment="1">
      <alignment horizontal="center" vertical="center"/>
    </xf>
    <xf numFmtId="3" fontId="32" fillId="0" borderId="55" xfId="0" applyNumberFormat="1" applyFont="1" applyBorder="1" applyAlignment="1">
      <alignment horizontal="center" vertical="center"/>
    </xf>
    <xf numFmtId="3" fontId="32" fillId="0" borderId="67" xfId="0" applyNumberFormat="1" applyFont="1" applyBorder="1" applyAlignment="1">
      <alignment horizontal="center" vertical="center"/>
    </xf>
    <xf numFmtId="0" fontId="34" fillId="0" borderId="68" xfId="0" applyFont="1" applyBorder="1" applyAlignment="1">
      <alignment horizontal="left" vertical="center" wrapText="1" indent="1"/>
    </xf>
    <xf numFmtId="3" fontId="53" fillId="0" borderId="30" xfId="0" applyNumberFormat="1" applyFont="1" applyBorder="1" applyAlignment="1">
      <alignment horizontal="center" vertical="center"/>
    </xf>
    <xf numFmtId="0" fontId="52" fillId="2" borderId="62" xfId="0" applyFont="1" applyFill="1" applyBorder="1" applyAlignment="1">
      <alignment vertical="center" wrapText="1"/>
    </xf>
    <xf numFmtId="3" fontId="33" fillId="2" borderId="30" xfId="0" applyNumberFormat="1" applyFont="1" applyFill="1" applyBorder="1" applyAlignment="1">
      <alignment horizontal="center" vertical="center"/>
    </xf>
    <xf numFmtId="0" fontId="52" fillId="4" borderId="62" xfId="0" applyFont="1" applyFill="1" applyBorder="1" applyAlignment="1">
      <alignment horizontal="left" vertical="center" wrapText="1"/>
    </xf>
    <xf numFmtId="3" fontId="51" fillId="3" borderId="7" xfId="0" applyNumberFormat="1" applyFont="1" applyFill="1" applyBorder="1" applyAlignment="1">
      <alignment horizontal="center" vertical="center" wrapText="1"/>
    </xf>
    <xf numFmtId="3" fontId="51" fillId="3" borderId="36" xfId="0" applyNumberFormat="1" applyFont="1" applyFill="1" applyBorder="1" applyAlignment="1">
      <alignment horizontal="center" vertical="center" wrapText="1"/>
    </xf>
    <xf numFmtId="3" fontId="32" fillId="3" borderId="66" xfId="0" applyNumberFormat="1" applyFont="1" applyFill="1" applyBorder="1" applyAlignment="1">
      <alignment horizontal="center" vertical="center"/>
    </xf>
    <xf numFmtId="3" fontId="32" fillId="3" borderId="49" xfId="0" applyNumberFormat="1" applyFont="1" applyFill="1" applyBorder="1" applyAlignment="1">
      <alignment horizontal="center" vertical="center"/>
    </xf>
    <xf numFmtId="0" fontId="52" fillId="2" borderId="57" xfId="0" applyFont="1" applyFill="1" applyBorder="1" applyAlignment="1">
      <alignment vertical="center" wrapText="1"/>
    </xf>
    <xf numFmtId="3" fontId="33" fillId="2" borderId="55" xfId="0" applyNumberFormat="1" applyFont="1" applyFill="1" applyBorder="1" applyAlignment="1">
      <alignment horizontal="center" vertical="center"/>
    </xf>
    <xf numFmtId="3" fontId="33" fillId="2" borderId="67" xfId="0" applyNumberFormat="1" applyFont="1" applyFill="1" applyBorder="1" applyAlignment="1">
      <alignment horizontal="center" vertical="center"/>
    </xf>
    <xf numFmtId="4" fontId="32" fillId="3" borderId="36" xfId="0" applyNumberFormat="1" applyFont="1" applyFill="1" applyBorder="1" applyAlignment="1">
      <alignment horizontal="center" vertical="center" wrapText="1"/>
    </xf>
    <xf numFmtId="0" fontId="32" fillId="4" borderId="62" xfId="0" applyFont="1" applyFill="1" applyBorder="1" applyAlignment="1">
      <alignment horizontal="left" vertical="center" wrapText="1"/>
    </xf>
    <xf numFmtId="0" fontId="32" fillId="0" borderId="57" xfId="0" applyFont="1" applyBorder="1" applyAlignment="1">
      <alignment horizontal="left" vertical="center" wrapText="1" indent="1"/>
    </xf>
    <xf numFmtId="3" fontId="32" fillId="3" borderId="55" xfId="0" applyNumberFormat="1" applyFont="1" applyFill="1" applyBorder="1" applyAlignment="1">
      <alignment horizontal="center" vertical="center"/>
    </xf>
    <xf numFmtId="0" fontId="69" fillId="0" borderId="68" xfId="0" applyFont="1" applyBorder="1" applyAlignment="1">
      <alignment horizontal="left" vertical="center" wrapText="1" indent="1"/>
    </xf>
    <xf numFmtId="0" fontId="33" fillId="0" borderId="62" xfId="0" applyFont="1" applyBorder="1" applyAlignment="1">
      <alignment horizontal="left" vertical="center" wrapText="1" indent="1"/>
    </xf>
    <xf numFmtId="0" fontId="33" fillId="0" borderId="63" xfId="0" applyFont="1" applyBorder="1" applyAlignment="1">
      <alignment horizontal="left" vertical="center" wrapText="1" indent="1"/>
    </xf>
    <xf numFmtId="0" fontId="70" fillId="3" borderId="7" xfId="0" applyFont="1" applyFill="1" applyBorder="1" applyAlignment="1">
      <alignment vertical="center" wrapText="1"/>
    </xf>
    <xf numFmtId="9" fontId="70" fillId="3" borderId="8" xfId="0" applyNumberFormat="1" applyFont="1" applyFill="1" applyBorder="1" applyAlignment="1">
      <alignment horizontal="center" vertical="center"/>
    </xf>
    <xf numFmtId="0" fontId="70" fillId="3" borderId="7" xfId="0" applyFont="1" applyFill="1" applyBorder="1" applyAlignment="1">
      <alignment horizontal="left" vertical="center" wrapText="1"/>
    </xf>
    <xf numFmtId="0" fontId="50" fillId="3" borderId="14" xfId="0" applyFont="1" applyFill="1" applyBorder="1" applyAlignment="1">
      <alignment horizontal="center" vertical="center" wrapText="1"/>
    </xf>
    <xf numFmtId="0" fontId="50" fillId="3" borderId="15" xfId="0" applyFont="1" applyFill="1" applyBorder="1" applyAlignment="1">
      <alignment horizontal="center" vertical="center" wrapText="1"/>
    </xf>
    <xf numFmtId="0" fontId="50" fillId="3" borderId="8" xfId="0" applyFont="1" applyFill="1" applyBorder="1" applyAlignment="1">
      <alignment horizontal="center" vertical="center" wrapText="1"/>
    </xf>
    <xf numFmtId="0" fontId="59" fillId="3" borderId="14" xfId="0" applyFont="1" applyFill="1" applyBorder="1" applyAlignment="1">
      <alignment horizontal="left" vertical="center" wrapText="1"/>
    </xf>
    <xf numFmtId="9" fontId="59" fillId="3" borderId="15" xfId="0" applyNumberFormat="1" applyFont="1" applyFill="1" applyBorder="1" applyAlignment="1">
      <alignment horizontal="center" vertical="center"/>
    </xf>
    <xf numFmtId="9" fontId="32" fillId="3" borderId="15" xfId="0" applyNumberFormat="1" applyFont="1" applyFill="1" applyBorder="1" applyAlignment="1">
      <alignment horizontal="center" vertical="center"/>
    </xf>
    <xf numFmtId="1" fontId="71" fillId="0" borderId="8" xfId="1" applyNumberFormat="1" applyFont="1" applyBorder="1" applyAlignment="1">
      <alignment horizontal="center" vertical="center"/>
    </xf>
    <xf numFmtId="3" fontId="70" fillId="0" borderId="8" xfId="0" applyNumberFormat="1" applyFont="1" applyBorder="1" applyAlignment="1">
      <alignment horizontal="center" vertical="center"/>
    </xf>
    <xf numFmtId="3" fontId="71" fillId="0" borderId="8" xfId="0" applyNumberFormat="1" applyFont="1" applyBorder="1" applyAlignment="1">
      <alignment horizontal="center" vertical="center"/>
    </xf>
    <xf numFmtId="3" fontId="59" fillId="0" borderId="8" xfId="0" applyNumberFormat="1" applyFont="1" applyBorder="1" applyAlignment="1">
      <alignment horizontal="center" vertical="center"/>
    </xf>
    <xf numFmtId="0" fontId="53" fillId="0" borderId="9" xfId="0" applyFont="1" applyBorder="1" applyAlignment="1">
      <alignment horizontal="left" vertical="center" wrapText="1" indent="1"/>
    </xf>
    <xf numFmtId="3" fontId="70" fillId="0" borderId="6" xfId="0" applyNumberFormat="1" applyFont="1" applyBorder="1" applyAlignment="1">
      <alignment horizontal="center" vertical="center"/>
    </xf>
    <xf numFmtId="0" fontId="34" fillId="0" borderId="17" xfId="0" applyFont="1" applyBorder="1" applyAlignment="1">
      <alignment horizontal="left" vertical="center" wrapText="1" indent="1"/>
    </xf>
    <xf numFmtId="3" fontId="53" fillId="0" borderId="17" xfId="0" applyNumberFormat="1" applyFont="1" applyBorder="1" applyAlignment="1">
      <alignment horizontal="center" vertical="center"/>
    </xf>
    <xf numFmtId="3" fontId="53" fillId="0" borderId="6" xfId="0" applyNumberFormat="1" applyFont="1" applyBorder="1" applyAlignment="1">
      <alignment horizontal="center" vertical="center"/>
    </xf>
    <xf numFmtId="3" fontId="71" fillId="0" borderId="17" xfId="0" applyNumberFormat="1" applyFont="1" applyBorder="1" applyAlignment="1">
      <alignment horizontal="center" vertical="center"/>
    </xf>
    <xf numFmtId="1" fontId="71" fillId="0" borderId="8" xfId="1" applyNumberFormat="1" applyFont="1" applyFill="1" applyBorder="1" applyAlignment="1">
      <alignment horizontal="center" vertical="center"/>
    </xf>
    <xf numFmtId="3" fontId="70" fillId="0" borderId="8" xfId="0" applyNumberFormat="1" applyFont="1" applyFill="1" applyBorder="1" applyAlignment="1">
      <alignment horizontal="center" vertical="center"/>
    </xf>
    <xf numFmtId="3" fontId="71" fillId="0" borderId="8" xfId="0" applyNumberFormat="1" applyFont="1" applyFill="1" applyBorder="1" applyAlignment="1">
      <alignment horizontal="center" vertical="center"/>
    </xf>
    <xf numFmtId="3" fontId="71" fillId="0" borderId="6" xfId="0" applyNumberFormat="1" applyFont="1" applyFill="1" applyBorder="1" applyAlignment="1">
      <alignment horizontal="center" vertical="center"/>
    </xf>
    <xf numFmtId="3" fontId="70" fillId="0" borderId="6" xfId="0" applyNumberFormat="1" applyFont="1" applyFill="1" applyBorder="1" applyAlignment="1">
      <alignment horizontal="center" vertical="center"/>
    </xf>
    <xf numFmtId="3" fontId="73" fillId="3" borderId="7" xfId="0" applyNumberFormat="1" applyFont="1" applyFill="1" applyBorder="1" applyAlignment="1">
      <alignment horizontal="center" vertical="center" wrapText="1"/>
    </xf>
    <xf numFmtId="0" fontId="44" fillId="0" borderId="9" xfId="0" applyFont="1" applyBorder="1" applyAlignment="1">
      <alignment horizontal="left" vertical="center" wrapText="1" indent="1"/>
    </xf>
    <xf numFmtId="0" fontId="0" fillId="3" borderId="0" xfId="0" applyFont="1" applyFill="1"/>
    <xf numFmtId="0" fontId="44" fillId="3" borderId="14" xfId="0" applyFont="1" applyFill="1" applyBorder="1" applyAlignment="1">
      <alignment vertical="center" wrapText="1"/>
    </xf>
    <xf numFmtId="3" fontId="43" fillId="3" borderId="15" xfId="0" applyNumberFormat="1" applyFont="1" applyFill="1" applyBorder="1" applyAlignment="1">
      <alignment horizontal="center" vertical="center"/>
    </xf>
    <xf numFmtId="3" fontId="43" fillId="3" borderId="8" xfId="0" applyNumberFormat="1" applyFont="1" applyFill="1" applyBorder="1" applyAlignment="1">
      <alignment horizontal="center" vertical="center"/>
    </xf>
    <xf numFmtId="0" fontId="42" fillId="4" borderId="1" xfId="0" applyFont="1" applyFill="1" applyBorder="1" applyAlignment="1">
      <alignment horizontal="left" vertical="center" wrapText="1"/>
    </xf>
    <xf numFmtId="9" fontId="73" fillId="3" borderId="8" xfId="0" applyNumberFormat="1" applyFont="1" applyFill="1" applyBorder="1" applyAlignment="1">
      <alignment horizontal="center" vertical="center"/>
    </xf>
    <xf numFmtId="3" fontId="73" fillId="3" borderId="8" xfId="0" applyNumberFormat="1" applyFont="1" applyFill="1" applyBorder="1" applyAlignment="1">
      <alignment horizontal="center" vertical="center"/>
    </xf>
    <xf numFmtId="3" fontId="73" fillId="2" borderId="7" xfId="0" applyNumberFormat="1" applyFont="1" applyFill="1" applyBorder="1" applyAlignment="1">
      <alignment horizontal="center" vertical="center" wrapText="1"/>
    </xf>
    <xf numFmtId="165" fontId="73" fillId="3" borderId="8" xfId="0" applyNumberFormat="1" applyFont="1" applyFill="1" applyBorder="1" applyAlignment="1">
      <alignment horizontal="center" vertical="center"/>
    </xf>
    <xf numFmtId="0" fontId="48" fillId="0" borderId="9" xfId="0" applyFont="1" applyFill="1" applyBorder="1" applyAlignment="1">
      <alignment horizontal="left" vertical="center" wrapText="1" indent="1"/>
    </xf>
    <xf numFmtId="3" fontId="45" fillId="0" borderId="15" xfId="0" applyNumberFormat="1" applyFont="1" applyFill="1" applyBorder="1" applyAlignment="1">
      <alignment horizontal="center" vertical="center"/>
    </xf>
    <xf numFmtId="3" fontId="45" fillId="0" borderId="8" xfId="0" applyNumberFormat="1" applyFont="1" applyFill="1" applyBorder="1" applyAlignment="1">
      <alignment horizontal="center" vertical="center"/>
    </xf>
    <xf numFmtId="0" fontId="43" fillId="0" borderId="7" xfId="0" applyFont="1" applyFill="1" applyBorder="1" applyAlignment="1">
      <alignment vertical="center" wrapText="1"/>
    </xf>
    <xf numFmtId="0" fontId="74" fillId="0" borderId="7" xfId="0" applyFont="1" applyBorder="1" applyAlignment="1">
      <alignment horizontal="left" vertical="center" wrapText="1" indent="1"/>
    </xf>
    <xf numFmtId="0" fontId="75" fillId="0" borderId="7" xfId="0" applyFont="1" applyBorder="1" applyAlignment="1">
      <alignment horizontal="left" vertical="center" wrapText="1" indent="1"/>
    </xf>
    <xf numFmtId="0" fontId="43" fillId="0" borderId="71" xfId="0" applyFont="1" applyFill="1" applyBorder="1" applyAlignment="1">
      <alignment vertical="center" wrapText="1"/>
    </xf>
    <xf numFmtId="0" fontId="44" fillId="2" borderId="71" xfId="0" applyFont="1" applyFill="1" applyBorder="1" applyAlignment="1">
      <alignment horizontal="center" vertical="center" wrapText="1"/>
    </xf>
    <xf numFmtId="3" fontId="43" fillId="2" borderId="75" xfId="0" applyNumberFormat="1" applyFont="1" applyFill="1" applyBorder="1" applyAlignment="1">
      <alignment horizontal="center" vertical="center"/>
    </xf>
    <xf numFmtId="3" fontId="43" fillId="2" borderId="74" xfId="0" applyNumberFormat="1" applyFont="1" applyFill="1" applyBorder="1" applyAlignment="1">
      <alignment horizontal="center" vertical="center"/>
    </xf>
    <xf numFmtId="0" fontId="44" fillId="0" borderId="7" xfId="0" applyFont="1" applyFill="1" applyBorder="1" applyAlignment="1">
      <alignment vertical="center" wrapText="1"/>
    </xf>
    <xf numFmtId="3" fontId="43" fillId="0" borderId="8" xfId="0" applyNumberFormat="1" applyFont="1" applyFill="1" applyBorder="1" applyAlignment="1">
      <alignment horizontal="center" vertical="center"/>
    </xf>
    <xf numFmtId="0" fontId="34" fillId="6" borderId="9" xfId="0" applyFont="1" applyFill="1" applyBorder="1" applyAlignment="1">
      <alignment horizontal="left" vertical="center" wrapText="1" indent="1"/>
    </xf>
    <xf numFmtId="3" fontId="53" fillId="6" borderId="8" xfId="0" applyNumberFormat="1" applyFont="1" applyFill="1" applyBorder="1" applyAlignment="1">
      <alignment horizontal="center" vertical="center"/>
    </xf>
    <xf numFmtId="0" fontId="52" fillId="8" borderId="14" xfId="0" applyFont="1" applyFill="1" applyBorder="1" applyAlignment="1">
      <alignment vertical="center" wrapText="1"/>
    </xf>
    <xf numFmtId="3" fontId="33" fillId="8" borderId="15" xfId="0" applyNumberFormat="1" applyFont="1" applyFill="1" applyBorder="1" applyAlignment="1">
      <alignment horizontal="center" vertical="center"/>
    </xf>
    <xf numFmtId="3" fontId="33" fillId="8" borderId="8" xfId="0" applyNumberFormat="1" applyFont="1" applyFill="1" applyBorder="1" applyAlignment="1">
      <alignment horizontal="center" vertical="center"/>
    </xf>
    <xf numFmtId="0" fontId="32" fillId="0" borderId="7" xfId="0" applyFont="1" applyFill="1" applyBorder="1" applyAlignment="1">
      <alignment vertical="center" wrapText="1"/>
    </xf>
    <xf numFmtId="0" fontId="32" fillId="0" borderId="14" xfId="0" applyFont="1" applyFill="1" applyBorder="1" applyAlignment="1">
      <alignment horizontal="center" vertical="center"/>
    </xf>
    <xf numFmtId="0" fontId="32" fillId="0" borderId="15" xfId="0" applyFont="1" applyFill="1" applyBorder="1" applyAlignment="1">
      <alignment horizontal="center" vertical="center"/>
    </xf>
    <xf numFmtId="0" fontId="32" fillId="0" borderId="8" xfId="0" applyFont="1" applyFill="1" applyBorder="1" applyAlignment="1">
      <alignment horizontal="center" vertical="center"/>
    </xf>
    <xf numFmtId="0" fontId="52" fillId="8" borderId="7" xfId="0" applyFont="1" applyFill="1" applyBorder="1" applyAlignment="1">
      <alignment vertical="center" wrapText="1"/>
    </xf>
    <xf numFmtId="3" fontId="77" fillId="0" borderId="15" xfId="0" applyNumberFormat="1" applyFont="1" applyFill="1" applyBorder="1" applyAlignment="1">
      <alignment horizontal="center" vertical="center"/>
    </xf>
    <xf numFmtId="3" fontId="77" fillId="0" borderId="8" xfId="0" applyNumberFormat="1" applyFont="1" applyFill="1" applyBorder="1" applyAlignment="1">
      <alignment horizontal="center" vertical="center"/>
    </xf>
    <xf numFmtId="0" fontId="76" fillId="0" borderId="7" xfId="0" applyFont="1" applyFill="1" applyBorder="1" applyAlignment="1">
      <alignment vertical="center" wrapText="1"/>
    </xf>
    <xf numFmtId="3" fontId="76" fillId="0" borderId="15" xfId="0" applyNumberFormat="1" applyFont="1" applyFill="1" applyBorder="1" applyAlignment="1">
      <alignment horizontal="center" vertical="center"/>
    </xf>
    <xf numFmtId="3" fontId="76" fillId="0" borderId="8" xfId="0" applyNumberFormat="1" applyFont="1" applyFill="1" applyBorder="1" applyAlignment="1">
      <alignment horizontal="center" vertical="center"/>
    </xf>
    <xf numFmtId="0" fontId="4" fillId="0" borderId="0" xfId="0" applyFont="1"/>
    <xf numFmtId="0" fontId="51" fillId="3" borderId="7" xfId="0" applyFont="1" applyFill="1" applyBorder="1" applyAlignment="1">
      <alignment horizontal="left" vertical="center" wrapText="1"/>
    </xf>
    <xf numFmtId="0" fontId="34" fillId="3" borderId="29" xfId="0" applyFont="1" applyFill="1" applyBorder="1" applyAlignment="1">
      <alignment horizontal="left" vertical="center" wrapText="1" indent="1"/>
    </xf>
    <xf numFmtId="0" fontId="34" fillId="0" borderId="76" xfId="0" applyFont="1" applyBorder="1" applyAlignment="1">
      <alignment horizontal="left" vertical="center" wrapText="1" indent="1"/>
    </xf>
    <xf numFmtId="3" fontId="53" fillId="0" borderId="77" xfId="0" applyNumberFormat="1" applyFont="1" applyBorder="1" applyAlignment="1">
      <alignment horizontal="center" vertical="center"/>
    </xf>
    <xf numFmtId="3" fontId="53" fillId="0" borderId="78" xfId="0" applyNumberFormat="1" applyFont="1" applyBorder="1" applyAlignment="1">
      <alignment horizontal="center" vertical="center"/>
    </xf>
    <xf numFmtId="3" fontId="53" fillId="0" borderId="79" xfId="0" applyNumberFormat="1" applyFont="1" applyBorder="1" applyAlignment="1">
      <alignment horizontal="center" vertical="center"/>
    </xf>
    <xf numFmtId="0" fontId="0" fillId="0" borderId="0" xfId="0" applyFont="1" applyBorder="1" applyAlignment="1"/>
    <xf numFmtId="0" fontId="32" fillId="3" borderId="7" xfId="0" applyFont="1" applyFill="1" applyBorder="1" applyAlignment="1">
      <alignment horizontal="center" vertical="center" wrapText="1"/>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0" xfId="0" applyFont="1" applyFill="1" applyBorder="1" applyAlignment="1">
      <alignment horizontal="center" vertical="center"/>
    </xf>
    <xf numFmtId="0" fontId="32" fillId="0" borderId="11" xfId="0" applyFont="1" applyFill="1" applyBorder="1" applyAlignment="1">
      <alignment horizontal="center" vertical="center"/>
    </xf>
    <xf numFmtId="0" fontId="32" fillId="0" borderId="85" xfId="0" applyFont="1" applyBorder="1"/>
    <xf numFmtId="0" fontId="32" fillId="0" borderId="73" xfId="0" applyFont="1" applyBorder="1"/>
    <xf numFmtId="0" fontId="32" fillId="0" borderId="74" xfId="0" applyFont="1" applyBorder="1"/>
    <xf numFmtId="0" fontId="33" fillId="3" borderId="86" xfId="0" applyFont="1" applyFill="1" applyBorder="1" applyAlignment="1">
      <alignment horizontal="left" vertical="center" wrapText="1"/>
    </xf>
    <xf numFmtId="0" fontId="33" fillId="3" borderId="88" xfId="0" applyFont="1" applyFill="1" applyBorder="1" applyAlignment="1">
      <alignment horizontal="left" vertical="center" wrapText="1"/>
    </xf>
    <xf numFmtId="0" fontId="32" fillId="0" borderId="91" xfId="0" applyFont="1" applyFill="1" applyBorder="1" applyAlignment="1">
      <alignment horizontal="center" vertical="center"/>
    </xf>
    <xf numFmtId="0" fontId="32" fillId="0" borderId="92" xfId="0" applyFont="1" applyFill="1" applyBorder="1" applyAlignment="1">
      <alignment horizontal="center" vertical="center"/>
    </xf>
    <xf numFmtId="0" fontId="33" fillId="0" borderId="88" xfId="0" applyFont="1" applyFill="1" applyBorder="1" applyAlignment="1">
      <alignment vertical="center" wrapText="1"/>
    </xf>
    <xf numFmtId="0" fontId="32" fillId="3" borderId="25" xfId="0" applyFont="1" applyFill="1" applyBorder="1" applyAlignment="1">
      <alignment horizontal="center" vertical="center" wrapText="1"/>
    </xf>
    <xf numFmtId="0" fontId="32" fillId="3" borderId="87" xfId="0" applyFont="1" applyFill="1" applyBorder="1" applyAlignment="1">
      <alignment horizontal="center" vertical="center" wrapText="1"/>
    </xf>
    <xf numFmtId="0" fontId="32" fillId="3" borderId="70" xfId="0" applyFont="1" applyFill="1" applyBorder="1" applyAlignment="1">
      <alignment horizontal="left" vertical="center" wrapText="1"/>
    </xf>
    <xf numFmtId="49" fontId="32" fillId="3" borderId="8" xfId="0" applyNumberFormat="1" applyFont="1" applyFill="1" applyBorder="1" applyAlignment="1">
      <alignment horizontal="center" vertical="center"/>
    </xf>
    <xf numFmtId="49" fontId="32" fillId="3" borderId="87" xfId="0" applyNumberFormat="1" applyFont="1" applyFill="1" applyBorder="1" applyAlignment="1">
      <alignment horizontal="center" vertical="center"/>
    </xf>
    <xf numFmtId="0" fontId="32" fillId="3" borderId="86" xfId="0" applyFont="1" applyFill="1" applyBorder="1" applyAlignment="1">
      <alignment horizontal="left" vertical="center" wrapText="1"/>
    </xf>
    <xf numFmtId="9" fontId="32" fillId="3" borderId="87" xfId="0" applyNumberFormat="1" applyFont="1" applyFill="1" applyBorder="1" applyAlignment="1">
      <alignment horizontal="center" vertical="center"/>
    </xf>
    <xf numFmtId="0" fontId="32" fillId="3" borderId="81" xfId="0" applyFont="1" applyFill="1" applyBorder="1" applyAlignment="1">
      <alignment horizontal="left" vertical="center" wrapText="1"/>
    </xf>
    <xf numFmtId="9" fontId="32" fillId="3" borderId="0" xfId="0" applyNumberFormat="1" applyFont="1" applyFill="1" applyBorder="1" applyAlignment="1">
      <alignment horizontal="center" vertical="center"/>
    </xf>
    <xf numFmtId="9" fontId="32" fillId="3" borderId="25" xfId="0" applyNumberFormat="1" applyFont="1" applyFill="1" applyBorder="1" applyAlignment="1">
      <alignment horizontal="center" vertical="center"/>
    </xf>
    <xf numFmtId="0" fontId="33" fillId="0" borderId="70" xfId="0" applyFont="1" applyFill="1" applyBorder="1" applyAlignment="1">
      <alignment vertical="center" wrapText="1"/>
    </xf>
    <xf numFmtId="0" fontId="33" fillId="3" borderId="21" xfId="0" applyFont="1" applyFill="1" applyBorder="1" applyAlignment="1">
      <alignment horizontal="center" vertical="center" wrapText="1"/>
    </xf>
    <xf numFmtId="0" fontId="33" fillId="3" borderId="71" xfId="0" applyFont="1" applyFill="1" applyBorder="1" applyAlignment="1">
      <alignment horizontal="center" vertical="center" wrapText="1"/>
    </xf>
    <xf numFmtId="0" fontId="33" fillId="3" borderId="75" xfId="0" applyFont="1" applyFill="1" applyBorder="1" applyAlignment="1">
      <alignment horizontal="center" vertical="center" wrapText="1"/>
    </xf>
    <xf numFmtId="0" fontId="33" fillId="3" borderId="74" xfId="0" applyFont="1" applyFill="1" applyBorder="1" applyAlignment="1">
      <alignment horizontal="center" vertical="center" wrapText="1"/>
    </xf>
    <xf numFmtId="0" fontId="32" fillId="0" borderId="20" xfId="0" applyFont="1" applyBorder="1" applyAlignment="1">
      <alignment wrapText="1"/>
    </xf>
    <xf numFmtId="3" fontId="32" fillId="3" borderId="97" xfId="0" applyNumberFormat="1" applyFont="1" applyFill="1" applyBorder="1" applyAlignment="1">
      <alignment horizontal="center" vertical="center" wrapText="1"/>
    </xf>
    <xf numFmtId="0" fontId="32" fillId="3" borderId="98" xfId="0" applyFont="1" applyFill="1" applyBorder="1" applyAlignment="1">
      <alignment horizontal="left" vertical="center" wrapText="1"/>
    </xf>
    <xf numFmtId="0" fontId="33" fillId="3" borderId="87" xfId="0" applyFont="1" applyFill="1" applyBorder="1" applyAlignment="1">
      <alignment horizontal="center" vertical="center" wrapText="1"/>
    </xf>
    <xf numFmtId="0" fontId="33" fillId="0" borderId="0" xfId="0" applyFont="1" applyBorder="1" applyAlignment="1">
      <alignment horizontal="center" vertical="center"/>
    </xf>
    <xf numFmtId="0" fontId="33" fillId="0" borderId="25" xfId="0" applyFont="1" applyBorder="1" applyAlignment="1">
      <alignment horizontal="center" vertical="center"/>
    </xf>
    <xf numFmtId="0" fontId="16" fillId="0" borderId="86" xfId="0" applyFont="1" applyFill="1" applyBorder="1" applyAlignment="1">
      <alignment horizontal="left" vertical="center" wrapText="1"/>
    </xf>
    <xf numFmtId="0" fontId="32" fillId="3" borderId="82" xfId="0" applyFont="1" applyFill="1" applyBorder="1" applyAlignment="1">
      <alignment horizontal="left" vertical="center" wrapText="1"/>
    </xf>
    <xf numFmtId="0" fontId="33" fillId="3" borderId="25" xfId="0" applyFont="1" applyFill="1" applyBorder="1" applyAlignment="1">
      <alignment horizontal="center" vertical="center" wrapText="1"/>
    </xf>
    <xf numFmtId="43" fontId="32" fillId="3" borderId="7" xfId="7" applyFont="1" applyFill="1" applyBorder="1" applyAlignment="1">
      <alignment horizontal="center" vertical="center" wrapText="1"/>
    </xf>
    <xf numFmtId="43" fontId="32" fillId="3" borderId="97" xfId="7" applyFont="1" applyFill="1" applyBorder="1" applyAlignment="1">
      <alignment horizontal="center" vertical="center" wrapText="1"/>
    </xf>
    <xf numFmtId="165" fontId="32" fillId="3" borderId="87" xfId="0" applyNumberFormat="1" applyFont="1" applyFill="1" applyBorder="1" applyAlignment="1">
      <alignment horizontal="center" vertical="center"/>
    </xf>
    <xf numFmtId="0" fontId="32" fillId="0" borderId="86" xfId="0" applyFont="1" applyBorder="1" applyAlignment="1">
      <alignment horizontal="left" vertical="center" wrapText="1" indent="1"/>
    </xf>
    <xf numFmtId="3" fontId="32" fillId="0" borderId="87" xfId="0" applyNumberFormat="1" applyFont="1" applyBorder="1" applyAlignment="1">
      <alignment horizontal="center" vertical="center"/>
    </xf>
    <xf numFmtId="0" fontId="69" fillId="0" borderId="81" xfId="0" applyFont="1" applyBorder="1" applyAlignment="1">
      <alignment horizontal="left" vertical="center" wrapText="1" indent="1"/>
    </xf>
    <xf numFmtId="3" fontId="55" fillId="0" borderId="6" xfId="0" applyNumberFormat="1" applyFont="1" applyBorder="1" applyAlignment="1">
      <alignment horizontal="center" vertical="center"/>
    </xf>
    <xf numFmtId="3" fontId="55" fillId="0" borderId="25" xfId="0" applyNumberFormat="1" applyFont="1" applyBorder="1" applyAlignment="1">
      <alignment horizontal="center" vertical="center"/>
    </xf>
    <xf numFmtId="0" fontId="16" fillId="0" borderId="71" xfId="0" applyFont="1" applyFill="1" applyBorder="1" applyAlignment="1">
      <alignment vertical="center" wrapText="1"/>
    </xf>
    <xf numFmtId="3" fontId="33" fillId="0" borderId="75" xfId="0" applyNumberFormat="1" applyFont="1" applyFill="1" applyBorder="1" applyAlignment="1">
      <alignment horizontal="center" vertical="center"/>
    </xf>
    <xf numFmtId="3" fontId="33" fillId="0" borderId="74" xfId="0" applyNumberFormat="1" applyFont="1" applyFill="1" applyBorder="1" applyAlignment="1">
      <alignment horizontal="center" vertical="center"/>
    </xf>
    <xf numFmtId="0" fontId="57" fillId="0" borderId="0" xfId="0" applyFont="1"/>
    <xf numFmtId="0" fontId="69" fillId="0" borderId="70" xfId="0" applyFont="1" applyFill="1" applyBorder="1" applyAlignment="1">
      <alignment vertical="center" wrapText="1"/>
    </xf>
    <xf numFmtId="0" fontId="33" fillId="0" borderId="99" xfId="0" applyFont="1" applyFill="1" applyBorder="1" applyAlignment="1">
      <alignment horizontal="left" vertical="center" wrapText="1"/>
    </xf>
    <xf numFmtId="0" fontId="33" fillId="0" borderId="17" xfId="0" applyFont="1" applyFill="1" applyBorder="1" applyAlignment="1">
      <alignment horizontal="center" vertical="center"/>
    </xf>
    <xf numFmtId="0" fontId="51" fillId="0" borderId="86" xfId="0" applyFont="1" applyFill="1" applyBorder="1" applyAlignment="1">
      <alignment vertical="center" wrapText="1"/>
    </xf>
    <xf numFmtId="0" fontId="32" fillId="0" borderId="99" xfId="0" applyFont="1" applyFill="1" applyBorder="1" applyAlignment="1">
      <alignment horizontal="left" vertical="center" wrapText="1"/>
    </xf>
    <xf numFmtId="0" fontId="16" fillId="0" borderId="17" xfId="7" applyNumberFormat="1" applyFont="1" applyBorder="1"/>
    <xf numFmtId="3" fontId="33" fillId="3" borderId="7" xfId="0" applyNumberFormat="1" applyFont="1" applyFill="1" applyBorder="1" applyAlignment="1">
      <alignment horizontal="center" vertical="center" wrapText="1"/>
    </xf>
    <xf numFmtId="3" fontId="33" fillId="3" borderId="97" xfId="0" applyNumberFormat="1" applyFont="1" applyFill="1" applyBorder="1" applyAlignment="1">
      <alignment horizontal="center" vertical="center" wrapText="1"/>
    </xf>
    <xf numFmtId="0" fontId="16" fillId="0" borderId="81" xfId="0" applyFont="1" applyBorder="1" applyAlignment="1">
      <alignment horizontal="left" vertical="center" wrapText="1" indent="1"/>
    </xf>
    <xf numFmtId="0" fontId="16" fillId="2" borderId="71" xfId="0" applyFont="1" applyFill="1" applyBorder="1" applyAlignment="1">
      <alignment vertical="center" wrapText="1"/>
    </xf>
    <xf numFmtId="3" fontId="33" fillId="2" borderId="75" xfId="0" applyNumberFormat="1" applyFont="1" applyFill="1" applyBorder="1" applyAlignment="1">
      <alignment horizontal="center" vertical="center"/>
    </xf>
    <xf numFmtId="3" fontId="33" fillId="2" borderId="74" xfId="0" applyNumberFormat="1" applyFont="1" applyFill="1" applyBorder="1" applyAlignment="1">
      <alignment horizontal="center" vertical="center"/>
    </xf>
    <xf numFmtId="0" fontId="55" fillId="0" borderId="70" xfId="0" applyFont="1" applyFill="1" applyBorder="1" applyAlignment="1">
      <alignment vertical="center" wrapText="1"/>
    </xf>
    <xf numFmtId="0" fontId="53" fillId="0" borderId="20" xfId="0" applyFont="1" applyBorder="1" applyAlignment="1">
      <alignment wrapText="1"/>
    </xf>
    <xf numFmtId="0" fontId="51" fillId="0" borderId="99" xfId="0" applyFont="1" applyFill="1" applyBorder="1" applyAlignment="1">
      <alignment vertical="center" wrapText="1"/>
    </xf>
    <xf numFmtId="0" fontId="32" fillId="3" borderId="99" xfId="0" applyFont="1" applyFill="1" applyBorder="1" applyAlignment="1">
      <alignment horizontal="left" vertical="center" wrapText="1"/>
    </xf>
    <xf numFmtId="0" fontId="16" fillId="0" borderId="17" xfId="7" applyNumberFormat="1" applyFont="1" applyBorder="1" applyAlignment="1">
      <alignment vertical="center"/>
    </xf>
    <xf numFmtId="0" fontId="32" fillId="0" borderId="81" xfId="0" applyFont="1" applyBorder="1" applyAlignment="1">
      <alignment horizontal="left" vertical="center" wrapText="1" indent="1"/>
    </xf>
    <xf numFmtId="3" fontId="32" fillId="0" borderId="25" xfId="0" applyNumberFormat="1" applyFont="1" applyBorder="1" applyAlignment="1">
      <alignment horizontal="center" vertical="center"/>
    </xf>
    <xf numFmtId="0" fontId="16" fillId="0" borderId="70" xfId="0" applyFont="1" applyFill="1" applyBorder="1" applyAlignment="1">
      <alignment horizontal="left" vertical="center" wrapText="1" indent="1"/>
    </xf>
    <xf numFmtId="3" fontId="55" fillId="0" borderId="71" xfId="0" applyNumberFormat="1" applyFont="1" applyBorder="1" applyAlignment="1">
      <alignment horizontal="center" vertical="center"/>
    </xf>
    <xf numFmtId="3" fontId="55" fillId="0" borderId="75" xfId="0" applyNumberFormat="1" applyFont="1" applyBorder="1" applyAlignment="1">
      <alignment horizontal="center" vertical="center"/>
    </xf>
    <xf numFmtId="3" fontId="55" fillId="0" borderId="74" xfId="0" applyNumberFormat="1" applyFont="1" applyBorder="1" applyAlignment="1">
      <alignment horizontal="center" vertical="center"/>
    </xf>
    <xf numFmtId="0" fontId="16" fillId="2" borderId="86" xfId="0" applyFont="1" applyFill="1" applyBorder="1" applyAlignment="1">
      <alignment vertical="center" wrapText="1"/>
    </xf>
    <xf numFmtId="3" fontId="33" fillId="2" borderId="87" xfId="0" applyNumberFormat="1" applyFont="1" applyFill="1" applyBorder="1" applyAlignment="1">
      <alignment horizontal="center" vertical="center"/>
    </xf>
    <xf numFmtId="3" fontId="33" fillId="0" borderId="17" xfId="0" applyNumberFormat="1" applyFont="1" applyFill="1" applyBorder="1" applyAlignment="1">
      <alignment horizontal="center" vertical="center"/>
    </xf>
    <xf numFmtId="0" fontId="16" fillId="0" borderId="17" xfId="7" applyNumberFormat="1" applyFont="1" applyBorder="1" applyAlignment="1">
      <alignment horizontal="center" vertical="center"/>
    </xf>
    <xf numFmtId="43" fontId="32" fillId="3" borderId="7" xfId="7" applyFont="1" applyFill="1" applyBorder="1" applyAlignment="1">
      <alignment vertical="center" wrapText="1"/>
    </xf>
    <xf numFmtId="43" fontId="32" fillId="3" borderId="97" xfId="7" applyFont="1" applyFill="1" applyBorder="1" applyAlignment="1">
      <alignment vertical="center" wrapText="1"/>
    </xf>
    <xf numFmtId="0" fontId="16" fillId="0" borderId="20" xfId="0" applyFont="1" applyBorder="1" applyAlignment="1">
      <alignment horizontal="left" vertical="center" wrapText="1" indent="1"/>
    </xf>
    <xf numFmtId="0" fontId="51" fillId="0" borderId="85" xfId="0" applyFont="1" applyFill="1" applyBorder="1" applyAlignment="1">
      <alignment vertical="center" wrapText="1"/>
    </xf>
    <xf numFmtId="0" fontId="69" fillId="0" borderId="102" xfId="0" applyFont="1" applyFill="1" applyBorder="1" applyAlignment="1" applyProtection="1">
      <alignment vertical="center"/>
      <protection locked="0"/>
    </xf>
    <xf numFmtId="0" fontId="69" fillId="0" borderId="73" xfId="0" applyFont="1" applyFill="1" applyBorder="1" applyAlignment="1" applyProtection="1">
      <alignment vertical="center"/>
      <protection locked="0"/>
    </xf>
    <xf numFmtId="0" fontId="69" fillId="0" borderId="74" xfId="0" applyFont="1" applyFill="1" applyBorder="1" applyAlignment="1" applyProtection="1">
      <alignment vertical="center"/>
      <protection locked="0"/>
    </xf>
    <xf numFmtId="0" fontId="16" fillId="3" borderId="17" xfId="7" applyNumberFormat="1" applyFont="1" applyFill="1" applyBorder="1"/>
    <xf numFmtId="0" fontId="32" fillId="3" borderId="86" xfId="0" applyFont="1" applyFill="1" applyBorder="1" applyAlignment="1">
      <alignment horizontal="left" vertical="center" wrapText="1" indent="1"/>
    </xf>
    <xf numFmtId="3" fontId="32" fillId="3" borderId="87" xfId="0" applyNumberFormat="1" applyFont="1" applyFill="1" applyBorder="1" applyAlignment="1">
      <alignment horizontal="center" vertical="center"/>
    </xf>
    <xf numFmtId="0" fontId="32" fillId="3" borderId="81" xfId="0" applyFont="1" applyFill="1" applyBorder="1" applyAlignment="1">
      <alignment horizontal="left" vertical="center" wrapText="1" indent="1"/>
    </xf>
    <xf numFmtId="0" fontId="16" fillId="3" borderId="20" xfId="0" applyFont="1" applyFill="1" applyBorder="1" applyAlignment="1">
      <alignment horizontal="left" vertical="center" wrapText="1" indent="1"/>
    </xf>
    <xf numFmtId="3" fontId="53" fillId="3" borderId="6" xfId="0" applyNumberFormat="1" applyFont="1" applyFill="1" applyBorder="1" applyAlignment="1">
      <alignment horizontal="center" vertical="center"/>
    </xf>
    <xf numFmtId="3" fontId="53" fillId="3" borderId="25" xfId="0" applyNumberFormat="1" applyFont="1" applyFill="1" applyBorder="1" applyAlignment="1">
      <alignment horizontal="center" vertical="center"/>
    </xf>
    <xf numFmtId="0" fontId="33" fillId="3" borderId="70" xfId="0" applyFont="1" applyFill="1" applyBorder="1" applyAlignment="1">
      <alignment horizontal="left" vertical="center" wrapText="1"/>
    </xf>
    <xf numFmtId="0" fontId="33" fillId="3" borderId="103" xfId="0" applyFont="1" applyFill="1" applyBorder="1" applyAlignment="1">
      <alignment horizontal="center" vertical="center"/>
    </xf>
    <xf numFmtId="0" fontId="33" fillId="3" borderId="104" xfId="0" applyFont="1" applyFill="1" applyBorder="1" applyAlignment="1">
      <alignment horizontal="center" vertical="center"/>
    </xf>
    <xf numFmtId="0" fontId="33" fillId="3" borderId="105" xfId="0" applyFont="1" applyFill="1" applyBorder="1" applyAlignment="1">
      <alignment horizontal="center" vertical="center"/>
    </xf>
    <xf numFmtId="0" fontId="33" fillId="0" borderId="85" xfId="0" applyFont="1" applyFill="1" applyBorder="1" applyAlignment="1">
      <alignment horizontal="left" vertical="center" wrapText="1"/>
    </xf>
    <xf numFmtId="3" fontId="33" fillId="0" borderId="73" xfId="0" applyNumberFormat="1" applyFont="1" applyFill="1" applyBorder="1" applyAlignment="1">
      <alignment horizontal="center" vertical="center"/>
    </xf>
    <xf numFmtId="0" fontId="32" fillId="0" borderId="86" xfId="0" applyFont="1" applyFill="1" applyBorder="1" applyAlignment="1">
      <alignment horizontal="left" vertical="center" wrapText="1"/>
    </xf>
    <xf numFmtId="0" fontId="69" fillId="0" borderId="70" xfId="0" applyFont="1" applyFill="1" applyBorder="1" applyAlignment="1">
      <alignment horizontal="left" vertical="center" wrapText="1" indent="1"/>
    </xf>
    <xf numFmtId="3" fontId="53" fillId="0" borderId="87" xfId="0" applyNumberFormat="1" applyFont="1" applyFill="1" applyBorder="1" applyAlignment="1">
      <alignment horizontal="center" vertical="center"/>
    </xf>
    <xf numFmtId="0" fontId="32" fillId="0" borderId="88" xfId="0" applyFont="1" applyFill="1" applyBorder="1" applyAlignment="1">
      <alignment horizontal="left" vertical="center" wrapText="1"/>
    </xf>
    <xf numFmtId="0" fontId="33" fillId="0" borderId="25" xfId="0" applyFont="1" applyFill="1" applyBorder="1" applyAlignment="1">
      <alignment horizontal="center" vertical="center" wrapText="1"/>
    </xf>
    <xf numFmtId="0" fontId="33" fillId="0" borderId="87" xfId="0" applyFont="1" applyFill="1" applyBorder="1" applyAlignment="1">
      <alignment horizontal="center" vertical="center" wrapText="1"/>
    </xf>
    <xf numFmtId="3" fontId="32" fillId="0" borderId="97" xfId="0" applyNumberFormat="1" applyFont="1" applyFill="1" applyBorder="1" applyAlignment="1">
      <alignment horizontal="center" vertical="center" wrapText="1"/>
    </xf>
    <xf numFmtId="165" fontId="32" fillId="0" borderId="87" xfId="0" applyNumberFormat="1" applyFont="1" applyFill="1" applyBorder="1" applyAlignment="1">
      <alignment horizontal="center" vertical="center"/>
    </xf>
    <xf numFmtId="0" fontId="32" fillId="0" borderId="81" xfId="0" applyFont="1" applyFill="1" applyBorder="1" applyAlignment="1">
      <alignment horizontal="left" vertical="center" wrapText="1" indent="1"/>
    </xf>
    <xf numFmtId="3" fontId="32" fillId="0" borderId="6" xfId="0" applyNumberFormat="1" applyFont="1" applyFill="1" applyBorder="1" applyAlignment="1">
      <alignment horizontal="center" vertical="center"/>
    </xf>
    <xf numFmtId="3" fontId="32" fillId="0" borderId="25" xfId="0" applyNumberFormat="1" applyFont="1" applyFill="1" applyBorder="1" applyAlignment="1">
      <alignment horizontal="center" vertical="center"/>
    </xf>
    <xf numFmtId="0" fontId="32" fillId="0" borderId="106" xfId="0" applyFont="1" applyFill="1" applyBorder="1" applyAlignment="1">
      <alignment horizontal="left" vertical="center" wrapText="1" indent="1"/>
    </xf>
    <xf numFmtId="3" fontId="53" fillId="0" borderId="107" xfId="0" applyNumberFormat="1" applyFont="1" applyFill="1" applyBorder="1" applyAlignment="1">
      <alignment horizontal="center" vertical="center"/>
    </xf>
    <xf numFmtId="3" fontId="32" fillId="0" borderId="107" xfId="0" applyNumberFormat="1" applyFont="1" applyFill="1" applyBorder="1" applyAlignment="1">
      <alignment horizontal="center" vertical="center"/>
    </xf>
    <xf numFmtId="3" fontId="32" fillId="0" borderId="95" xfId="0" applyNumberFormat="1" applyFont="1" applyFill="1" applyBorder="1" applyAlignment="1">
      <alignment horizontal="center" vertical="center"/>
    </xf>
    <xf numFmtId="0" fontId="69" fillId="0" borderId="82" xfId="0" applyFont="1" applyFill="1" applyBorder="1" applyAlignment="1">
      <alignment horizontal="left" vertical="center" wrapText="1" indent="1"/>
    </xf>
    <xf numFmtId="3" fontId="55" fillId="0" borderId="84" xfId="0" applyNumberFormat="1" applyFont="1" applyFill="1" applyBorder="1" applyAlignment="1">
      <alignment horizontal="center" vertical="center"/>
    </xf>
    <xf numFmtId="3" fontId="55" fillId="0" borderId="28" xfId="0" applyNumberFormat="1" applyFont="1" applyFill="1" applyBorder="1" applyAlignment="1">
      <alignment horizontal="center" vertical="center"/>
    </xf>
    <xf numFmtId="3" fontId="32" fillId="3" borderId="6" xfId="0" applyNumberFormat="1" applyFont="1" applyFill="1" applyBorder="1" applyAlignment="1">
      <alignment horizontal="center" vertical="center"/>
    </xf>
    <xf numFmtId="3" fontId="32" fillId="3" borderId="25" xfId="0" applyNumberFormat="1" applyFont="1" applyFill="1" applyBorder="1" applyAlignment="1">
      <alignment horizontal="center" vertical="center"/>
    </xf>
    <xf numFmtId="0" fontId="32" fillId="3" borderId="106" xfId="0" applyFont="1" applyFill="1" applyBorder="1" applyAlignment="1">
      <alignment horizontal="left" vertical="center" wrapText="1" indent="1"/>
    </xf>
    <xf numFmtId="3" fontId="53" fillId="3" borderId="107" xfId="0" applyNumberFormat="1" applyFont="1" applyFill="1" applyBorder="1" applyAlignment="1">
      <alignment horizontal="center" vertical="center"/>
    </xf>
    <xf numFmtId="3" fontId="32" fillId="3" borderId="107" xfId="0" applyNumberFormat="1" applyFont="1" applyFill="1" applyBorder="1" applyAlignment="1">
      <alignment horizontal="center" vertical="center"/>
    </xf>
    <xf numFmtId="3" fontId="32" fillId="3" borderId="95" xfId="0" applyNumberFormat="1" applyFont="1" applyFill="1" applyBorder="1" applyAlignment="1">
      <alignment horizontal="center" vertical="center"/>
    </xf>
    <xf numFmtId="0" fontId="69" fillId="3" borderId="82" xfId="0" applyFont="1" applyFill="1" applyBorder="1" applyAlignment="1">
      <alignment horizontal="left" vertical="center" wrapText="1" indent="1"/>
    </xf>
    <xf numFmtId="3" fontId="53" fillId="3" borderId="84" xfId="0" applyNumberFormat="1" applyFont="1" applyFill="1" applyBorder="1" applyAlignment="1">
      <alignment horizontal="center" vertical="center"/>
    </xf>
    <xf numFmtId="3" fontId="53" fillId="3" borderId="28" xfId="0" applyNumberFormat="1" applyFont="1" applyFill="1" applyBorder="1" applyAlignment="1">
      <alignment horizontal="center" vertical="center"/>
    </xf>
    <xf numFmtId="0" fontId="78" fillId="0" borderId="17" xfId="0" applyFont="1" applyFill="1" applyBorder="1" applyAlignment="1">
      <alignment horizontal="center" vertical="center" wrapText="1"/>
    </xf>
    <xf numFmtId="0" fontId="33" fillId="0" borderId="71" xfId="0" applyFont="1" applyFill="1" applyBorder="1" applyAlignment="1">
      <alignment horizontal="center" vertical="center" wrapText="1"/>
    </xf>
    <xf numFmtId="0" fontId="33" fillId="0" borderId="75" xfId="0" applyFont="1" applyFill="1" applyBorder="1" applyAlignment="1">
      <alignment horizontal="center" vertical="center" wrapText="1"/>
    </xf>
    <xf numFmtId="0" fontId="33" fillId="0" borderId="74" xfId="0" applyFont="1" applyFill="1" applyBorder="1" applyAlignment="1">
      <alignment horizontal="center" vertical="center" wrapText="1"/>
    </xf>
    <xf numFmtId="0" fontId="32" fillId="0" borderId="98" xfId="0" applyFont="1" applyFill="1" applyBorder="1" applyAlignment="1">
      <alignment horizontal="left" vertical="center" wrapText="1"/>
    </xf>
    <xf numFmtId="0" fontId="32" fillId="0" borderId="85" xfId="0" applyFont="1" applyFill="1" applyBorder="1" applyAlignment="1">
      <alignment vertical="center" wrapText="1"/>
    </xf>
    <xf numFmtId="0" fontId="16" fillId="0" borderId="102" xfId="0" applyFont="1" applyFill="1" applyBorder="1" applyAlignment="1" applyProtection="1">
      <alignment vertical="center"/>
      <protection locked="0"/>
    </xf>
    <xf numFmtId="0" fontId="16" fillId="0" borderId="73" xfId="0" applyFont="1" applyFill="1" applyBorder="1" applyAlignment="1" applyProtection="1">
      <alignment vertical="center"/>
      <protection locked="0"/>
    </xf>
    <xf numFmtId="0" fontId="16" fillId="0" borderId="74" xfId="0" applyFont="1" applyFill="1" applyBorder="1" applyAlignment="1" applyProtection="1">
      <alignment vertical="center"/>
      <protection locked="0"/>
    </xf>
    <xf numFmtId="0" fontId="53" fillId="0" borderId="8" xfId="0" applyFont="1" applyBorder="1" applyAlignment="1">
      <alignment horizontal="center" vertical="center"/>
    </xf>
    <xf numFmtId="0" fontId="16" fillId="0" borderId="70" xfId="0" applyFont="1" applyBorder="1" applyAlignment="1">
      <alignment horizontal="left" vertical="center" wrapText="1" indent="1"/>
    </xf>
    <xf numFmtId="3" fontId="78" fillId="0" borderId="8" xfId="0" applyNumberFormat="1" applyFont="1" applyBorder="1" applyAlignment="1">
      <alignment horizontal="center" vertical="center"/>
    </xf>
    <xf numFmtId="3" fontId="78" fillId="0" borderId="87" xfId="0" applyNumberFormat="1" applyFont="1" applyBorder="1" applyAlignment="1">
      <alignment horizontal="center" vertical="center"/>
    </xf>
    <xf numFmtId="0" fontId="52" fillId="0" borderId="86" xfId="0" applyFont="1" applyFill="1" applyBorder="1" applyAlignment="1">
      <alignment vertical="center" wrapText="1"/>
    </xf>
    <xf numFmtId="3" fontId="33" fillId="0" borderId="8" xfId="0" applyNumberFormat="1" applyFont="1" applyFill="1" applyBorder="1" applyAlignment="1">
      <alignment horizontal="center" vertical="center"/>
    </xf>
    <xf numFmtId="3" fontId="33" fillId="0" borderId="87" xfId="0" applyNumberFormat="1" applyFont="1" applyFill="1" applyBorder="1" applyAlignment="1">
      <alignment horizontal="center" vertical="center"/>
    </xf>
    <xf numFmtId="0" fontId="33" fillId="0" borderId="24" xfId="0" applyFont="1" applyFill="1" applyBorder="1" applyAlignment="1">
      <alignment horizontal="left" vertical="center" wrapText="1"/>
    </xf>
    <xf numFmtId="0" fontId="33" fillId="0" borderId="108" xfId="0" applyFont="1" applyFill="1" applyBorder="1" applyAlignment="1">
      <alignment horizontal="center" vertical="center"/>
    </xf>
    <xf numFmtId="0" fontId="52" fillId="0" borderId="70" xfId="0" applyFont="1" applyBorder="1" applyAlignment="1">
      <alignment horizontal="left" vertical="center" wrapText="1" indent="1"/>
    </xf>
    <xf numFmtId="3" fontId="55" fillId="0" borderId="87" xfId="0" applyNumberFormat="1" applyFont="1" applyBorder="1" applyAlignment="1">
      <alignment horizontal="center" vertical="center"/>
    </xf>
    <xf numFmtId="0" fontId="52" fillId="0" borderId="81" xfId="0" applyFont="1" applyFill="1" applyBorder="1" applyAlignment="1">
      <alignment vertical="center" wrapText="1"/>
    </xf>
    <xf numFmtId="3" fontId="33" fillId="0" borderId="6" xfId="0" applyNumberFormat="1" applyFont="1" applyFill="1" applyBorder="1" applyAlignment="1">
      <alignment horizontal="center" vertical="center"/>
    </xf>
    <xf numFmtId="3" fontId="33" fillId="0" borderId="25" xfId="0" applyNumberFormat="1" applyFont="1" applyFill="1" applyBorder="1" applyAlignment="1">
      <alignment horizontal="center" vertical="center"/>
    </xf>
    <xf numFmtId="0" fontId="32" fillId="0" borderId="71" xfId="0" applyFont="1" applyFill="1" applyBorder="1" applyAlignment="1">
      <alignment horizontal="left" vertical="center" wrapText="1"/>
    </xf>
    <xf numFmtId="0" fontId="33" fillId="3" borderId="6" xfId="0" applyFont="1" applyFill="1" applyBorder="1" applyAlignment="1">
      <alignment horizontal="center" wrapText="1"/>
    </xf>
    <xf numFmtId="0" fontId="33" fillId="3" borderId="25" xfId="0" applyFont="1" applyFill="1" applyBorder="1" applyAlignment="1">
      <alignment horizontal="center" wrapText="1"/>
    </xf>
    <xf numFmtId="0" fontId="69" fillId="0" borderId="70" xfId="0" applyFont="1" applyBorder="1" applyAlignment="1">
      <alignment horizontal="left" vertical="center" wrapText="1" indent="1"/>
    </xf>
    <xf numFmtId="3" fontId="69" fillId="0" borderId="8" xfId="0" applyNumberFormat="1" applyFont="1" applyBorder="1" applyAlignment="1">
      <alignment horizontal="center" vertical="center"/>
    </xf>
    <xf numFmtId="0" fontId="69" fillId="0" borderId="81" xfId="0" applyFont="1" applyFill="1" applyBorder="1" applyAlignment="1">
      <alignment vertical="center" wrapText="1"/>
    </xf>
    <xf numFmtId="3" fontId="69" fillId="0" borderId="6" xfId="0" applyNumberFormat="1" applyFont="1" applyFill="1" applyBorder="1" applyAlignment="1">
      <alignment horizontal="center" vertical="center"/>
    </xf>
    <xf numFmtId="0" fontId="32" fillId="0" borderId="85" xfId="0" applyFont="1" applyFill="1" applyBorder="1"/>
    <xf numFmtId="0" fontId="32" fillId="0" borderId="73" xfId="0" applyFont="1" applyFill="1" applyBorder="1"/>
    <xf numFmtId="0" fontId="32" fillId="0" borderId="74" xfId="0" applyFont="1" applyFill="1" applyBorder="1"/>
    <xf numFmtId="0" fontId="33" fillId="5" borderId="86" xfId="0" applyFont="1" applyFill="1" applyBorder="1" applyAlignment="1">
      <alignment vertical="center" wrapText="1"/>
    </xf>
    <xf numFmtId="3" fontId="55" fillId="5" borderId="8" xfId="0" applyNumberFormat="1" applyFont="1" applyFill="1" applyBorder="1" applyAlignment="1">
      <alignment horizontal="center" vertical="center"/>
    </xf>
    <xf numFmtId="3" fontId="55" fillId="5" borderId="87" xfId="0" applyNumberFormat="1" applyFont="1" applyFill="1" applyBorder="1" applyAlignment="1">
      <alignment horizontal="center" vertical="center"/>
    </xf>
    <xf numFmtId="3" fontId="33" fillId="5" borderId="87" xfId="0" applyNumberFormat="1" applyFont="1" applyFill="1" applyBorder="1" applyAlignment="1">
      <alignment horizontal="center" vertical="center"/>
    </xf>
    <xf numFmtId="0" fontId="55" fillId="3" borderId="86" xfId="0" applyFont="1" applyFill="1" applyBorder="1" applyAlignment="1">
      <alignment vertical="center" wrapText="1"/>
    </xf>
    <xf numFmtId="165" fontId="53" fillId="3" borderId="8" xfId="0" applyNumberFormat="1" applyFont="1" applyFill="1" applyBorder="1" applyAlignment="1">
      <alignment horizontal="center" vertical="center"/>
    </xf>
    <xf numFmtId="165" fontId="53" fillId="3" borderId="87" xfId="0" applyNumberFormat="1" applyFont="1" applyFill="1" applyBorder="1" applyAlignment="1">
      <alignment horizontal="center" vertical="center"/>
    </xf>
    <xf numFmtId="3" fontId="55" fillId="3" borderId="87" xfId="0" applyNumberFormat="1" applyFont="1" applyFill="1" applyBorder="1" applyAlignment="1">
      <alignment horizontal="center" vertical="center"/>
    </xf>
    <xf numFmtId="0" fontId="53" fillId="3" borderId="86" xfId="0" applyFont="1" applyFill="1" applyBorder="1" applyAlignment="1">
      <alignment horizontal="left" vertical="center" wrapText="1" indent="1"/>
    </xf>
    <xf numFmtId="0" fontId="53" fillId="0" borderId="86" xfId="0" applyFont="1" applyBorder="1" applyAlignment="1">
      <alignment horizontal="left" vertical="center" wrapText="1" indent="1"/>
    </xf>
    <xf numFmtId="165" fontId="53" fillId="0" borderId="87" xfId="0" applyNumberFormat="1" applyFont="1" applyBorder="1" applyAlignment="1">
      <alignment horizontal="center" vertical="center"/>
    </xf>
    <xf numFmtId="0" fontId="52" fillId="2" borderId="86" xfId="0" applyFont="1" applyFill="1" applyBorder="1" applyAlignment="1">
      <alignment vertical="center" wrapText="1"/>
    </xf>
    <xf numFmtId="0" fontId="33" fillId="0" borderId="86" xfId="0" applyFont="1" applyBorder="1" applyAlignment="1">
      <alignment horizontal="left" vertical="center" wrapText="1" indent="1"/>
    </xf>
    <xf numFmtId="0" fontId="33" fillId="0" borderId="82" xfId="0" applyFont="1" applyBorder="1" applyAlignment="1">
      <alignment horizontal="left" vertical="center" wrapText="1" indent="1"/>
    </xf>
    <xf numFmtId="3" fontId="32" fillId="0" borderId="84" xfId="0" applyNumberFormat="1" applyFont="1" applyBorder="1" applyAlignment="1">
      <alignment horizontal="center" vertical="center"/>
    </xf>
    <xf numFmtId="3" fontId="32" fillId="0" borderId="28" xfId="0" applyNumberFormat="1" applyFont="1" applyBorder="1" applyAlignment="1">
      <alignment horizontal="center" vertical="center"/>
    </xf>
    <xf numFmtId="0" fontId="3" fillId="0" borderId="0" xfId="0" applyFont="1" applyAlignment="1">
      <alignment horizontal="center"/>
    </xf>
    <xf numFmtId="0" fontId="51" fillId="3" borderId="7" xfId="0" applyFont="1" applyFill="1" applyBorder="1" applyAlignment="1">
      <alignment horizontal="center" vertical="center" wrapText="1"/>
    </xf>
    <xf numFmtId="0" fontId="0" fillId="0" borderId="0" xfId="0" applyAlignment="1">
      <alignment horizontal="left"/>
    </xf>
    <xf numFmtId="0" fontId="3" fillId="0" borderId="0" xfId="0" applyFont="1" applyAlignment="1">
      <alignment horizontal="left"/>
    </xf>
    <xf numFmtId="0" fontId="25" fillId="4" borderId="1" xfId="0" applyFont="1" applyFill="1" applyBorder="1" applyAlignment="1">
      <alignment horizontal="left" vertical="center" wrapText="1"/>
    </xf>
    <xf numFmtId="0" fontId="27" fillId="3" borderId="6" xfId="0" applyFont="1" applyFill="1" applyBorder="1" applyAlignment="1">
      <alignment horizontal="left" vertical="center" wrapText="1"/>
    </xf>
    <xf numFmtId="0" fontId="27" fillId="3" borderId="8" xfId="0" applyFont="1" applyFill="1" applyBorder="1" applyAlignment="1">
      <alignment horizontal="left" vertical="center" wrapText="1"/>
    </xf>
    <xf numFmtId="9" fontId="27" fillId="3" borderId="8" xfId="0" applyNumberFormat="1" applyFont="1" applyFill="1" applyBorder="1" applyAlignment="1">
      <alignment horizontal="left" vertical="center"/>
    </xf>
    <xf numFmtId="4" fontId="0" fillId="0" borderId="0" xfId="0" applyNumberFormat="1" applyAlignment="1">
      <alignment horizontal="left"/>
    </xf>
    <xf numFmtId="0" fontId="25" fillId="3" borderId="6" xfId="0" applyFont="1" applyFill="1" applyBorder="1" applyAlignment="1">
      <alignment horizontal="left" vertical="center" wrapText="1"/>
    </xf>
    <xf numFmtId="0" fontId="25" fillId="3" borderId="8" xfId="0" applyFont="1" applyFill="1" applyBorder="1" applyAlignment="1">
      <alignment horizontal="left" vertical="center" wrapText="1"/>
    </xf>
    <xf numFmtId="3" fontId="27" fillId="3" borderId="7" xfId="0" applyNumberFormat="1" applyFont="1" applyFill="1" applyBorder="1" applyAlignment="1">
      <alignment horizontal="left" vertical="center" wrapText="1"/>
    </xf>
    <xf numFmtId="165" fontId="27" fillId="3" borderId="8" xfId="0" applyNumberFormat="1" applyFont="1" applyFill="1" applyBorder="1" applyAlignment="1">
      <alignment horizontal="left" vertical="center"/>
    </xf>
    <xf numFmtId="3" fontId="0" fillId="0" borderId="0" xfId="0" applyNumberFormat="1" applyAlignment="1">
      <alignment horizontal="left"/>
    </xf>
    <xf numFmtId="3" fontId="27" fillId="0" borderId="8" xfId="0" applyNumberFormat="1" applyFont="1" applyBorder="1" applyAlignment="1">
      <alignment horizontal="left" vertical="center"/>
    </xf>
    <xf numFmtId="3" fontId="29" fillId="0" borderId="8" xfId="0" applyNumberFormat="1" applyFont="1" applyBorder="1" applyAlignment="1">
      <alignment horizontal="left" vertical="center"/>
    </xf>
    <xf numFmtId="0" fontId="26" fillId="2" borderId="7" xfId="0" applyFont="1" applyFill="1" applyBorder="1" applyAlignment="1">
      <alignment horizontal="left" vertical="center" wrapText="1"/>
    </xf>
    <xf numFmtId="3" fontId="25" fillId="2" borderId="8" xfId="0" applyNumberFormat="1" applyFont="1" applyFill="1" applyBorder="1" applyAlignment="1">
      <alignment horizontal="left" vertical="center"/>
    </xf>
    <xf numFmtId="0" fontId="25" fillId="4" borderId="7" xfId="0" applyFont="1" applyFill="1" applyBorder="1" applyAlignment="1">
      <alignment horizontal="left" vertical="center" wrapText="1"/>
    </xf>
    <xf numFmtId="0" fontId="27" fillId="4" borderId="1" xfId="0" applyFont="1" applyFill="1" applyBorder="1" applyAlignment="1">
      <alignment horizontal="left" vertical="center" wrapText="1"/>
    </xf>
    <xf numFmtId="0" fontId="30" fillId="0" borderId="29" xfId="0" applyFont="1" applyBorder="1" applyAlignment="1">
      <alignment horizontal="left" vertical="center" wrapText="1" indent="1"/>
    </xf>
    <xf numFmtId="0" fontId="26" fillId="5" borderId="7" xfId="0" applyFont="1" applyFill="1" applyBorder="1" applyAlignment="1">
      <alignment horizontal="left" vertical="center" wrapText="1"/>
    </xf>
    <xf numFmtId="3" fontId="25" fillId="5" borderId="8" xfId="0" applyNumberFormat="1" applyFont="1" applyFill="1" applyBorder="1" applyAlignment="1">
      <alignment horizontal="left" vertical="center"/>
    </xf>
    <xf numFmtId="3" fontId="25" fillId="4" borderId="8" xfId="0" applyNumberFormat="1" applyFont="1" applyFill="1" applyBorder="1" applyAlignment="1">
      <alignment horizontal="left" vertical="center"/>
    </xf>
    <xf numFmtId="0" fontId="28" fillId="3" borderId="7" xfId="0" applyFont="1" applyFill="1" applyBorder="1" applyAlignment="1">
      <alignment horizontal="left" vertical="center" wrapText="1"/>
    </xf>
    <xf numFmtId="3" fontId="28" fillId="3" borderId="8" xfId="0" applyNumberFormat="1" applyFont="1" applyFill="1" applyBorder="1" applyAlignment="1">
      <alignment horizontal="left" vertical="center"/>
    </xf>
    <xf numFmtId="165" fontId="28" fillId="0" borderId="8" xfId="0" applyNumberFormat="1" applyFont="1" applyBorder="1" applyAlignment="1">
      <alignment horizontal="left" vertical="center"/>
    </xf>
    <xf numFmtId="165" fontId="29" fillId="0" borderId="8" xfId="0" applyNumberFormat="1" applyFont="1" applyBorder="1" applyAlignment="1">
      <alignment horizontal="left" vertical="center"/>
    </xf>
    <xf numFmtId="3" fontId="8" fillId="0" borderId="0" xfId="0" applyNumberFormat="1" applyFont="1" applyBorder="1" applyAlignment="1">
      <alignment horizontal="left" vertical="center"/>
    </xf>
    <xf numFmtId="0" fontId="8" fillId="3" borderId="7" xfId="0" applyFont="1" applyFill="1" applyBorder="1" applyAlignment="1">
      <alignment horizontal="center" vertical="center" wrapText="1"/>
    </xf>
    <xf numFmtId="0" fontId="8" fillId="3" borderId="7" xfId="0" applyFont="1" applyFill="1" applyBorder="1" applyAlignment="1">
      <alignment vertical="center" wrapText="1"/>
    </xf>
    <xf numFmtId="0" fontId="81" fillId="0" borderId="0" xfId="0" applyFont="1"/>
    <xf numFmtId="0" fontId="16" fillId="3" borderId="1" xfId="0" applyFont="1" applyFill="1" applyBorder="1" applyAlignment="1">
      <alignment horizontal="left" vertical="center" wrapText="1"/>
    </xf>
    <xf numFmtId="0" fontId="16" fillId="4" borderId="1" xfId="0" applyFont="1" applyFill="1" applyBorder="1" applyAlignment="1">
      <alignment vertical="center" wrapText="1"/>
    </xf>
    <xf numFmtId="0" fontId="51" fillId="3" borderId="6" xfId="0" applyFont="1" applyFill="1" applyBorder="1" applyAlignment="1">
      <alignment horizontal="center" vertical="center" wrapText="1"/>
    </xf>
    <xf numFmtId="0" fontId="51" fillId="3" borderId="8" xfId="0" applyFont="1" applyFill="1" applyBorder="1" applyAlignment="1">
      <alignment horizontal="center" vertical="center" wrapText="1"/>
    </xf>
    <xf numFmtId="0" fontId="16" fillId="4" borderId="7" xfId="0" applyFont="1" applyFill="1" applyBorder="1" applyAlignment="1">
      <alignment horizontal="left" vertical="center" wrapText="1"/>
    </xf>
    <xf numFmtId="0" fontId="16" fillId="3" borderId="6" xfId="0" applyFont="1" applyFill="1" applyBorder="1" applyAlignment="1">
      <alignment horizontal="center" vertical="center" wrapText="1"/>
    </xf>
    <xf numFmtId="0" fontId="16" fillId="3" borderId="8" xfId="0" applyFont="1" applyFill="1" applyBorder="1" applyAlignment="1">
      <alignment horizontal="center" vertical="center" wrapText="1"/>
    </xf>
    <xf numFmtId="165" fontId="51" fillId="3" borderId="8" xfId="0" applyNumberFormat="1" applyFont="1" applyFill="1" applyBorder="1" applyAlignment="1">
      <alignment horizontal="center" vertical="center"/>
    </xf>
    <xf numFmtId="0" fontId="51" fillId="0" borderId="7" xfId="0" applyFont="1" applyBorder="1" applyAlignment="1">
      <alignment horizontal="left" vertical="center" wrapText="1" indent="1"/>
    </xf>
    <xf numFmtId="3" fontId="51" fillId="0" borderId="8" xfId="0" applyNumberFormat="1" applyFont="1" applyBorder="1" applyAlignment="1">
      <alignment horizontal="center" vertical="center"/>
    </xf>
    <xf numFmtId="0" fontId="78" fillId="0" borderId="7" xfId="0" applyFont="1" applyBorder="1" applyAlignment="1">
      <alignment horizontal="left" vertical="center" wrapText="1" indent="1"/>
    </xf>
    <xf numFmtId="9" fontId="78" fillId="0" borderId="8" xfId="1" applyFont="1" applyBorder="1" applyAlignment="1">
      <alignment horizontal="center" vertical="center"/>
    </xf>
    <xf numFmtId="165" fontId="78" fillId="0" borderId="8" xfId="0" applyNumberFormat="1" applyFont="1" applyBorder="1" applyAlignment="1">
      <alignment horizontal="center" vertical="center"/>
    </xf>
    <xf numFmtId="0" fontId="69" fillId="0" borderId="9" xfId="0" applyFont="1" applyBorder="1" applyAlignment="1">
      <alignment horizontal="left" vertical="center" wrapText="1" indent="1"/>
    </xf>
    <xf numFmtId="0" fontId="16" fillId="2" borderId="7" xfId="0" applyFont="1" applyFill="1" applyBorder="1" applyAlignment="1">
      <alignment vertical="center" wrapText="1"/>
    </xf>
    <xf numFmtId="3" fontId="16" fillId="2" borderId="8" xfId="0" applyNumberFormat="1" applyFont="1" applyFill="1" applyBorder="1" applyAlignment="1">
      <alignment horizontal="center" vertical="center"/>
    </xf>
    <xf numFmtId="0" fontId="51" fillId="4" borderId="7" xfId="0" applyFont="1" applyFill="1" applyBorder="1" applyAlignment="1">
      <alignment horizontal="left" vertical="center" wrapText="1"/>
    </xf>
    <xf numFmtId="3" fontId="51" fillId="3" borderId="8" xfId="0" applyNumberFormat="1" applyFont="1" applyFill="1" applyBorder="1" applyAlignment="1">
      <alignment horizontal="center" vertical="center"/>
    </xf>
    <xf numFmtId="3" fontId="78" fillId="3" borderId="8" xfId="0" applyNumberFormat="1" applyFont="1" applyFill="1" applyBorder="1" applyAlignment="1">
      <alignment horizontal="center" vertical="center"/>
    </xf>
    <xf numFmtId="3" fontId="16" fillId="4" borderId="8" xfId="0" applyNumberFormat="1" applyFont="1" applyFill="1" applyBorder="1" applyAlignment="1">
      <alignment horizontal="center" vertical="center"/>
    </xf>
    <xf numFmtId="0" fontId="69" fillId="3" borderId="7" xfId="0" applyFont="1" applyFill="1" applyBorder="1" applyAlignment="1">
      <alignment vertical="center" wrapText="1"/>
    </xf>
    <xf numFmtId="3" fontId="69" fillId="3" borderId="8" xfId="0" applyNumberFormat="1" applyFont="1" applyFill="1" applyBorder="1" applyAlignment="1">
      <alignment horizontal="center" vertical="center"/>
    </xf>
    <xf numFmtId="165" fontId="69" fillId="0" borderId="8" xfId="0" applyNumberFormat="1" applyFont="1" applyBorder="1" applyAlignment="1">
      <alignment horizontal="center" vertical="center"/>
    </xf>
    <xf numFmtId="166" fontId="78" fillId="0" borderId="8" xfId="0" applyNumberFormat="1" applyFont="1" applyBorder="1" applyAlignment="1">
      <alignment horizontal="center" vertical="center"/>
    </xf>
    <xf numFmtId="0" fontId="16" fillId="0" borderId="7" xfId="0" applyFont="1" applyBorder="1" applyAlignment="1">
      <alignment horizontal="left" vertical="center" wrapText="1" indent="1"/>
    </xf>
    <xf numFmtId="0" fontId="16" fillId="0" borderId="0" xfId="0" applyFont="1" applyBorder="1" applyAlignment="1">
      <alignment horizontal="left" vertical="center" wrapText="1" indent="1"/>
    </xf>
    <xf numFmtId="3" fontId="51" fillId="0" borderId="0" xfId="0" applyNumberFormat="1" applyFont="1" applyBorder="1" applyAlignment="1">
      <alignment horizontal="center" vertical="center"/>
    </xf>
    <xf numFmtId="0" fontId="8" fillId="0" borderId="17" xfId="0" applyFont="1" applyFill="1" applyBorder="1" applyAlignment="1">
      <alignment horizontal="center" vertical="center" wrapText="1"/>
    </xf>
    <xf numFmtId="0" fontId="8" fillId="3" borderId="14" xfId="0" applyFont="1" applyFill="1" applyBorder="1" applyAlignment="1">
      <alignment vertical="center" wrapText="1"/>
    </xf>
    <xf numFmtId="9" fontId="8" fillId="0" borderId="17" xfId="0" applyNumberFormat="1" applyFont="1" applyFill="1" applyBorder="1" applyAlignment="1">
      <alignment horizontal="center" vertical="center"/>
    </xf>
    <xf numFmtId="0" fontId="8" fillId="3" borderId="14" xfId="0" applyFont="1" applyFill="1" applyBorder="1" applyAlignment="1">
      <alignment horizontal="left" vertical="center" wrapText="1"/>
    </xf>
    <xf numFmtId="0" fontId="79" fillId="4" borderId="7" xfId="0" applyFont="1" applyFill="1" applyBorder="1" applyAlignment="1">
      <alignment horizontal="left" vertical="center" wrapText="1"/>
    </xf>
    <xf numFmtId="0" fontId="79" fillId="4" borderId="7" xfId="0" applyFont="1" applyFill="1" applyBorder="1" applyAlignment="1">
      <alignment vertical="center" wrapText="1"/>
    </xf>
    <xf numFmtId="0" fontId="15" fillId="0" borderId="9" xfId="0" applyFont="1" applyBorder="1" applyAlignment="1">
      <alignment horizontal="left" vertical="center" wrapText="1" indent="1"/>
    </xf>
    <xf numFmtId="0" fontId="8" fillId="4" borderId="1" xfId="0" applyFont="1" applyFill="1" applyBorder="1" applyAlignment="1">
      <alignment horizontal="left" vertical="center" wrapText="1"/>
    </xf>
    <xf numFmtId="0" fontId="9" fillId="0" borderId="9" xfId="0" applyFont="1" applyBorder="1" applyAlignment="1">
      <alignment horizontal="left" vertical="center" wrapText="1" indent="1"/>
    </xf>
    <xf numFmtId="3" fontId="10" fillId="0" borderId="8" xfId="0" applyNumberFormat="1" applyFont="1" applyBorder="1" applyAlignment="1">
      <alignment horizontal="center" vertical="center"/>
    </xf>
    <xf numFmtId="0" fontId="8" fillId="4" borderId="7" xfId="0" applyFont="1" applyFill="1" applyBorder="1" applyAlignment="1">
      <alignment vertical="center" wrapText="1"/>
    </xf>
    <xf numFmtId="3" fontId="18" fillId="0" borderId="8" xfId="0" applyNumberFormat="1" applyFont="1" applyBorder="1" applyAlignment="1">
      <alignment horizontal="center" vertical="center"/>
    </xf>
    <xf numFmtId="0" fontId="32" fillId="3" borderId="7" xfId="0" applyFont="1" applyFill="1" applyBorder="1" applyAlignment="1">
      <alignment horizontal="center" vertical="center" wrapText="1"/>
    </xf>
    <xf numFmtId="0" fontId="32" fillId="3" borderId="7" xfId="0" applyFont="1" applyFill="1" applyBorder="1" applyAlignment="1">
      <alignment vertical="center" wrapText="1"/>
    </xf>
    <xf numFmtId="0" fontId="32" fillId="3" borderId="15" xfId="0" applyFont="1" applyFill="1" applyBorder="1" applyAlignment="1">
      <alignment horizontal="center" vertical="center"/>
    </xf>
    <xf numFmtId="0" fontId="32" fillId="3" borderId="8" xfId="0" applyFont="1" applyFill="1" applyBorder="1" applyAlignment="1">
      <alignment horizontal="center" vertical="center"/>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7" xfId="0" applyFont="1" applyFill="1" applyBorder="1" applyAlignment="1">
      <alignment vertical="center" wrapText="1"/>
    </xf>
    <xf numFmtId="0" fontId="51" fillId="3" borderId="7" xfId="0" applyFont="1" applyFill="1" applyBorder="1" applyAlignment="1">
      <alignment vertical="center" wrapText="1"/>
    </xf>
    <xf numFmtId="49" fontId="32" fillId="3" borderId="7" xfId="0" applyNumberFormat="1" applyFont="1" applyFill="1" applyBorder="1" applyAlignment="1">
      <alignment vertical="center" wrapText="1"/>
    </xf>
    <xf numFmtId="0" fontId="32" fillId="0" borderId="17" xfId="0" applyFont="1" applyFill="1" applyBorder="1" applyAlignment="1">
      <alignment wrapText="1"/>
    </xf>
    <xf numFmtId="3" fontId="32" fillId="0" borderId="0" xfId="0" applyNumberFormat="1" applyFont="1" applyFill="1" applyBorder="1" applyAlignment="1">
      <alignment horizontal="center" vertical="center"/>
    </xf>
    <xf numFmtId="1" fontId="32" fillId="3" borderId="30" xfId="0" applyNumberFormat="1" applyFont="1" applyFill="1" applyBorder="1" applyAlignment="1">
      <alignment horizontal="center" vertical="center"/>
    </xf>
    <xf numFmtId="0" fontId="25" fillId="0" borderId="7" xfId="0" applyFont="1" applyFill="1" applyBorder="1" applyAlignment="1">
      <alignment horizontal="left" vertical="center" wrapText="1"/>
    </xf>
    <xf numFmtId="0" fontId="43" fillId="0" borderId="1" xfId="0" applyFont="1" applyFill="1" applyBorder="1" applyAlignment="1">
      <alignment vertical="center" wrapText="1"/>
    </xf>
    <xf numFmtId="0" fontId="32" fillId="3" borderId="7" xfId="0" applyFont="1" applyFill="1" applyBorder="1" applyAlignment="1">
      <alignment horizontal="center" vertical="center" wrapText="1"/>
    </xf>
    <xf numFmtId="0" fontId="32" fillId="3" borderId="7" xfId="0" applyFont="1" applyFill="1" applyBorder="1" applyAlignment="1">
      <alignment vertical="center" wrapText="1"/>
    </xf>
    <xf numFmtId="0" fontId="32" fillId="3" borderId="6"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52" fillId="2" borderId="1" xfId="0" applyFont="1" applyFill="1" applyBorder="1" applyAlignment="1">
      <alignment vertical="center" wrapText="1"/>
    </xf>
    <xf numFmtId="0" fontId="34" fillId="0" borderId="1" xfId="0" applyFont="1" applyBorder="1" applyAlignment="1">
      <alignment horizontal="left" vertical="center" wrapText="1" indent="1"/>
    </xf>
    <xf numFmtId="0" fontId="33" fillId="0" borderId="7" xfId="0" applyFont="1" applyFill="1" applyBorder="1" applyAlignment="1">
      <alignment vertical="center" wrapText="1"/>
    </xf>
    <xf numFmtId="9" fontId="32" fillId="0" borderId="8" xfId="0" applyNumberFormat="1" applyFont="1" applyFill="1" applyBorder="1" applyAlignment="1">
      <alignment horizontal="center" vertical="center"/>
    </xf>
    <xf numFmtId="0" fontId="33" fillId="0" borderId="17" xfId="0" applyFont="1" applyFill="1" applyBorder="1" applyAlignment="1">
      <alignment wrapText="1"/>
    </xf>
    <xf numFmtId="3" fontId="53" fillId="3" borderId="7" xfId="0" applyNumberFormat="1" applyFont="1" applyFill="1" applyBorder="1" applyAlignment="1">
      <alignment horizontal="center" vertical="center" wrapText="1"/>
    </xf>
    <xf numFmtId="0" fontId="33" fillId="3" borderId="2" xfId="0" applyFont="1" applyFill="1" applyBorder="1" applyAlignment="1">
      <alignment horizontal="left" vertical="center" wrapText="1"/>
    </xf>
    <xf numFmtId="0" fontId="0" fillId="0" borderId="37" xfId="0" applyFont="1" applyBorder="1"/>
    <xf numFmtId="0" fontId="0" fillId="0" borderId="51" xfId="0" applyFont="1" applyBorder="1"/>
    <xf numFmtId="0" fontId="0" fillId="0" borderId="52" xfId="0" applyFont="1" applyBorder="1"/>
    <xf numFmtId="0" fontId="32" fillId="3" borderId="8" xfId="0" applyNumberFormat="1" applyFont="1" applyFill="1" applyBorder="1" applyAlignment="1">
      <alignment horizontal="center" vertical="center"/>
    </xf>
    <xf numFmtId="1" fontId="78" fillId="0" borderId="8" xfId="1" applyNumberFormat="1" applyFont="1" applyBorder="1" applyAlignment="1">
      <alignment horizontal="center" vertical="center"/>
    </xf>
    <xf numFmtId="0" fontId="33" fillId="4" borderId="110" xfId="0" applyFont="1" applyFill="1" applyBorder="1" applyAlignment="1">
      <alignment vertical="center" wrapText="1"/>
    </xf>
    <xf numFmtId="0" fontId="51" fillId="0" borderId="7" xfId="0" applyFont="1" applyFill="1" applyBorder="1" applyAlignment="1">
      <alignment horizontal="left" vertical="center" wrapText="1"/>
    </xf>
    <xf numFmtId="1" fontId="32" fillId="0" borderId="8" xfId="0" applyNumberFormat="1" applyFont="1" applyFill="1" applyBorder="1" applyAlignment="1">
      <alignment horizontal="center" vertical="center"/>
    </xf>
    <xf numFmtId="170" fontId="32" fillId="0" borderId="8" xfId="7" applyNumberFormat="1" applyFont="1" applyFill="1" applyBorder="1" applyAlignment="1">
      <alignment horizontal="center" vertical="center"/>
    </xf>
    <xf numFmtId="170" fontId="32" fillId="0" borderId="8" xfId="7" applyNumberFormat="1" applyFont="1" applyFill="1" applyBorder="1" applyAlignment="1">
      <alignment vertical="center"/>
    </xf>
    <xf numFmtId="43" fontId="53" fillId="0" borderId="8" xfId="7" applyFont="1" applyBorder="1" applyAlignment="1">
      <alignment horizontal="center" vertical="center"/>
    </xf>
    <xf numFmtId="0" fontId="52" fillId="2" borderId="14" xfId="0" applyFont="1" applyFill="1" applyBorder="1" applyAlignment="1">
      <alignment vertical="center" wrapText="1"/>
    </xf>
    <xf numFmtId="3" fontId="33" fillId="2" borderId="15" xfId="0" applyNumberFormat="1" applyFont="1" applyFill="1" applyBorder="1" applyAlignment="1">
      <alignment horizontal="center" vertical="center"/>
    </xf>
    <xf numFmtId="0" fontId="81" fillId="0" borderId="0" xfId="0" applyFont="1" applyFill="1"/>
    <xf numFmtId="0" fontId="16" fillId="0" borderId="1" xfId="0" applyFont="1" applyFill="1" applyBorder="1" applyAlignment="1">
      <alignment horizontal="left" vertical="center" wrapText="1"/>
    </xf>
    <xf numFmtId="0" fontId="16" fillId="0" borderId="1" xfId="0" applyFont="1" applyFill="1" applyBorder="1" applyAlignment="1">
      <alignment vertical="center" wrapText="1"/>
    </xf>
    <xf numFmtId="0" fontId="51" fillId="0" borderId="6" xfId="0" applyFont="1" applyFill="1" applyBorder="1" applyAlignment="1">
      <alignment horizontal="center" vertical="center" wrapText="1"/>
    </xf>
    <xf numFmtId="0" fontId="51" fillId="0" borderId="8" xfId="0" applyFont="1" applyFill="1" applyBorder="1" applyAlignment="1">
      <alignment horizontal="center" vertical="center" wrapText="1"/>
    </xf>
    <xf numFmtId="0" fontId="51" fillId="0" borderId="7" xfId="0" applyFont="1" applyFill="1" applyBorder="1" applyAlignment="1">
      <alignment vertical="center" wrapText="1"/>
    </xf>
    <xf numFmtId="9" fontId="51" fillId="0" borderId="8" xfId="0" applyNumberFormat="1" applyFont="1" applyFill="1" applyBorder="1" applyAlignment="1">
      <alignment horizontal="center" vertical="center"/>
    </xf>
    <xf numFmtId="0" fontId="16" fillId="0" borderId="7" xfId="0" applyFont="1" applyFill="1" applyBorder="1" applyAlignment="1">
      <alignment vertical="center" wrapText="1"/>
    </xf>
    <xf numFmtId="0" fontId="16" fillId="0" borderId="7" xfId="0" applyFont="1" applyFill="1" applyBorder="1" applyAlignment="1">
      <alignment horizontal="left" vertical="center" wrapText="1"/>
    </xf>
    <xf numFmtId="0" fontId="16" fillId="0" borderId="6" xfId="0" applyFont="1" applyFill="1" applyBorder="1" applyAlignment="1">
      <alignment horizontal="center" vertical="center" wrapText="1"/>
    </xf>
    <xf numFmtId="0" fontId="16" fillId="0" borderId="8" xfId="0" applyFont="1" applyFill="1" applyBorder="1" applyAlignment="1">
      <alignment horizontal="center" vertical="center" wrapText="1"/>
    </xf>
    <xf numFmtId="3" fontId="51" fillId="0" borderId="7" xfId="0" applyNumberFormat="1" applyFont="1" applyFill="1" applyBorder="1" applyAlignment="1">
      <alignment horizontal="center" vertical="center" wrapText="1"/>
    </xf>
    <xf numFmtId="0" fontId="51" fillId="0" borderId="7" xfId="0" applyFont="1" applyFill="1" applyBorder="1" applyAlignment="1">
      <alignment horizontal="center" vertical="center" wrapText="1"/>
    </xf>
    <xf numFmtId="165" fontId="51" fillId="0" borderId="8" xfId="0" applyNumberFormat="1" applyFont="1" applyFill="1" applyBorder="1" applyAlignment="1">
      <alignment horizontal="center" vertical="center"/>
    </xf>
    <xf numFmtId="0" fontId="51" fillId="0" borderId="7" xfId="0" applyFont="1" applyFill="1" applyBorder="1" applyAlignment="1">
      <alignment horizontal="left" vertical="center" wrapText="1" indent="1"/>
    </xf>
    <xf numFmtId="3" fontId="51" fillId="0" borderId="8" xfId="0" applyNumberFormat="1" applyFont="1" applyFill="1" applyBorder="1" applyAlignment="1">
      <alignment horizontal="center" vertical="center"/>
    </xf>
    <xf numFmtId="0" fontId="78" fillId="0" borderId="7" xfId="0" applyFont="1" applyFill="1" applyBorder="1" applyAlignment="1">
      <alignment horizontal="left" vertical="center" wrapText="1" indent="1"/>
    </xf>
    <xf numFmtId="3" fontId="78" fillId="0" borderId="8" xfId="0" applyNumberFormat="1" applyFont="1" applyFill="1" applyBorder="1" applyAlignment="1">
      <alignment horizontal="center" vertical="center"/>
    </xf>
    <xf numFmtId="9" fontId="78" fillId="0" borderId="8" xfId="1" applyFont="1" applyFill="1" applyBorder="1" applyAlignment="1">
      <alignment horizontal="center" vertical="center"/>
    </xf>
    <xf numFmtId="165" fontId="78" fillId="0" borderId="8" xfId="0" applyNumberFormat="1" applyFont="1" applyFill="1" applyBorder="1" applyAlignment="1">
      <alignment horizontal="center" vertical="center"/>
    </xf>
    <xf numFmtId="0" fontId="69" fillId="0" borderId="9" xfId="0" applyFont="1" applyFill="1" applyBorder="1" applyAlignment="1">
      <alignment horizontal="left" vertical="center" wrapText="1" indent="1"/>
    </xf>
    <xf numFmtId="3" fontId="16" fillId="0" borderId="8" xfId="0" applyNumberFormat="1" applyFont="1" applyFill="1" applyBorder="1" applyAlignment="1">
      <alignment horizontal="center" vertical="center"/>
    </xf>
    <xf numFmtId="0" fontId="16" fillId="0" borderId="9" xfId="0" applyFont="1" applyFill="1" applyBorder="1" applyAlignment="1">
      <alignment horizontal="left" vertical="center" wrapText="1" indent="1"/>
    </xf>
    <xf numFmtId="3" fontId="16" fillId="0" borderId="6" xfId="0" applyNumberFormat="1" applyFont="1" applyFill="1" applyBorder="1" applyAlignment="1">
      <alignment horizontal="center" vertical="center"/>
    </xf>
    <xf numFmtId="3" fontId="69" fillId="0" borderId="8" xfId="0" applyNumberFormat="1" applyFont="1" applyFill="1" applyBorder="1" applyAlignment="1">
      <alignment horizontal="center" vertical="center"/>
    </xf>
    <xf numFmtId="3" fontId="16" fillId="0" borderId="1" xfId="0" applyNumberFormat="1" applyFont="1" applyFill="1" applyBorder="1" applyAlignment="1">
      <alignment horizontal="center" vertical="center"/>
    </xf>
    <xf numFmtId="3" fontId="16" fillId="0" borderId="4" xfId="0" applyNumberFormat="1" applyFont="1" applyFill="1" applyBorder="1" applyAlignment="1">
      <alignment horizontal="center" vertical="center"/>
    </xf>
    <xf numFmtId="0" fontId="69" fillId="0" borderId="7" xfId="0" applyFont="1" applyFill="1" applyBorder="1" applyAlignment="1">
      <alignment vertical="center" wrapText="1"/>
    </xf>
    <xf numFmtId="165" fontId="69" fillId="0" borderId="8" xfId="0" applyNumberFormat="1" applyFont="1" applyFill="1" applyBorder="1" applyAlignment="1">
      <alignment horizontal="center" vertical="center"/>
    </xf>
    <xf numFmtId="0" fontId="16" fillId="0" borderId="7" xfId="0" applyFont="1" applyFill="1" applyBorder="1" applyAlignment="1">
      <alignment horizontal="left" vertical="center" wrapText="1" indent="1"/>
    </xf>
    <xf numFmtId="0" fontId="52" fillId="0" borderId="14" xfId="0" applyFont="1" applyFill="1" applyBorder="1" applyAlignment="1">
      <alignment vertical="center" wrapText="1"/>
    </xf>
    <xf numFmtId="3" fontId="33" fillId="0" borderId="15" xfId="0" applyNumberFormat="1" applyFont="1" applyFill="1" applyBorder="1" applyAlignment="1">
      <alignment horizontal="center" vertical="center"/>
    </xf>
    <xf numFmtId="0" fontId="32" fillId="3" borderId="14" xfId="0" applyFont="1" applyFill="1" applyBorder="1" applyAlignment="1">
      <alignment vertical="center" wrapText="1"/>
    </xf>
    <xf numFmtId="0" fontId="52" fillId="4" borderId="1" xfId="0" applyFont="1" applyFill="1" applyBorder="1" applyAlignment="1">
      <alignment vertical="center" wrapText="1"/>
    </xf>
    <xf numFmtId="0" fontId="33" fillId="3" borderId="7" xfId="0" applyFont="1" applyFill="1" applyBorder="1" applyAlignment="1">
      <alignment horizontal="left" vertical="center" wrapText="1"/>
    </xf>
    <xf numFmtId="0" fontId="34" fillId="0" borderId="29" xfId="0" applyFont="1" applyBorder="1" applyAlignment="1">
      <alignment horizontal="left" vertical="center" wrapText="1" indent="1"/>
    </xf>
    <xf numFmtId="0" fontId="32" fillId="0" borderId="9" xfId="0" applyFont="1" applyBorder="1" applyAlignment="1">
      <alignment horizontal="left" vertical="center" wrapText="1" indent="1"/>
    </xf>
    <xf numFmtId="0" fontId="34" fillId="0" borderId="119" xfId="0" applyFont="1" applyBorder="1" applyAlignment="1">
      <alignment horizontal="left" vertical="center" wrapText="1" indent="1"/>
    </xf>
    <xf numFmtId="0" fontId="52" fillId="5" borderId="9" xfId="0" applyFont="1" applyFill="1" applyBorder="1" applyAlignment="1">
      <alignment vertical="center" wrapText="1"/>
    </xf>
    <xf numFmtId="3" fontId="33" fillId="5" borderId="6" xfId="0" applyNumberFormat="1" applyFont="1" applyFill="1" applyBorder="1" applyAlignment="1">
      <alignment horizontal="center" vertical="center"/>
    </xf>
    <xf numFmtId="0" fontId="33" fillId="4" borderId="106" xfId="0" applyFont="1" applyFill="1" applyBorder="1" applyAlignment="1">
      <alignment vertical="center" wrapText="1"/>
    </xf>
    <xf numFmtId="3" fontId="33" fillId="4" borderId="107" xfId="0" applyNumberFormat="1" applyFont="1" applyFill="1" applyBorder="1" applyAlignment="1">
      <alignment horizontal="center" vertical="center"/>
    </xf>
    <xf numFmtId="3" fontId="33" fillId="4" borderId="95" xfId="0" applyNumberFormat="1" applyFont="1" applyFill="1" applyBorder="1" applyAlignment="1">
      <alignment horizontal="center" vertical="center"/>
    </xf>
    <xf numFmtId="0" fontId="33" fillId="4" borderId="86" xfId="0" applyFont="1" applyFill="1" applyBorder="1" applyAlignment="1">
      <alignment vertical="center" wrapText="1"/>
    </xf>
    <xf numFmtId="3" fontId="33" fillId="4" borderId="87" xfId="0" applyNumberFormat="1" applyFont="1" applyFill="1" applyBorder="1" applyAlignment="1">
      <alignment horizontal="center" vertical="center"/>
    </xf>
    <xf numFmtId="165" fontId="55" fillId="0" borderId="87" xfId="0" applyNumberFormat="1" applyFont="1" applyBorder="1" applyAlignment="1">
      <alignment horizontal="center" vertical="center"/>
    </xf>
    <xf numFmtId="3" fontId="33" fillId="0" borderId="87" xfId="0" applyNumberFormat="1" applyFont="1" applyBorder="1" applyAlignment="1">
      <alignment horizontal="center" vertical="center"/>
    </xf>
    <xf numFmtId="9" fontId="32" fillId="3" borderId="8" xfId="1" applyFont="1" applyFill="1" applyBorder="1" applyAlignment="1">
      <alignment horizontal="center" vertical="center"/>
    </xf>
    <xf numFmtId="0" fontId="33" fillId="0" borderId="9" xfId="0" applyFont="1" applyFill="1" applyBorder="1" applyAlignment="1">
      <alignment horizontal="left" vertical="center" wrapText="1" indent="1"/>
    </xf>
    <xf numFmtId="0" fontId="52" fillId="0" borderId="7" xfId="0" applyFont="1" applyFill="1" applyBorder="1" applyAlignment="1">
      <alignment vertical="center" wrapText="1"/>
    </xf>
    <xf numFmtId="3" fontId="55" fillId="0" borderId="8" xfId="0" applyNumberFormat="1" applyFont="1" applyFill="1" applyBorder="1" applyAlignment="1">
      <alignment horizontal="center" vertical="center"/>
    </xf>
    <xf numFmtId="0" fontId="40" fillId="0" borderId="17" xfId="0" applyFont="1" applyBorder="1" applyAlignment="1">
      <alignment wrapText="1"/>
    </xf>
    <xf numFmtId="9" fontId="32" fillId="4" borderId="8" xfId="0" applyNumberFormat="1" applyFont="1" applyFill="1" applyBorder="1" applyAlignment="1">
      <alignment horizontal="center" vertical="center"/>
    </xf>
    <xf numFmtId="3" fontId="59" fillId="0" borderId="7" xfId="0" applyNumberFormat="1" applyFont="1" applyFill="1" applyBorder="1" applyAlignment="1">
      <alignment horizontal="center" vertical="center" wrapText="1"/>
    </xf>
    <xf numFmtId="9" fontId="0" fillId="0" borderId="0" xfId="1" applyFont="1" applyFill="1"/>
    <xf numFmtId="0" fontId="32" fillId="3" borderId="8" xfId="0" applyNumberFormat="1" applyFont="1" applyFill="1" applyBorder="1" applyAlignment="1">
      <alignment horizontal="center" vertical="center" wrapText="1"/>
    </xf>
    <xf numFmtId="0" fontId="52" fillId="2" borderId="7" xfId="0" applyFont="1" applyFill="1" applyBorder="1" applyAlignment="1">
      <alignment horizontal="center" vertical="center" wrapText="1"/>
    </xf>
    <xf numFmtId="0" fontId="35" fillId="0" borderId="0" xfId="0" applyFont="1"/>
    <xf numFmtId="0" fontId="52" fillId="11" borderId="7" xfId="0" applyFont="1" applyFill="1" applyBorder="1" applyAlignment="1">
      <alignment horizontal="left" vertical="center" wrapText="1"/>
    </xf>
    <xf numFmtId="0" fontId="32" fillId="3" borderId="14" xfId="0" applyFont="1" applyFill="1" applyBorder="1" applyAlignment="1">
      <alignment horizontal="left" vertical="center" wrapText="1" indent="1"/>
    </xf>
    <xf numFmtId="3" fontId="32" fillId="3" borderId="56" xfId="0" applyNumberFormat="1" applyFont="1" applyFill="1" applyBorder="1" applyAlignment="1">
      <alignment horizontal="center" vertical="center"/>
    </xf>
    <xf numFmtId="3" fontId="32" fillId="0" borderId="1" xfId="0" applyNumberFormat="1" applyFont="1" applyBorder="1" applyAlignment="1">
      <alignment horizontal="center" vertical="center"/>
    </xf>
    <xf numFmtId="3" fontId="32" fillId="0" borderId="4" xfId="0" applyNumberFormat="1" applyFont="1" applyBorder="1" applyAlignment="1">
      <alignment horizontal="center" vertical="center"/>
    </xf>
    <xf numFmtId="0" fontId="89" fillId="0" borderId="0" xfId="0" applyFont="1"/>
    <xf numFmtId="0" fontId="8" fillId="3" borderId="7" xfId="0" applyFont="1" applyFill="1" applyBorder="1" applyAlignment="1">
      <alignment horizontal="center" vertical="center" wrapText="1"/>
    </xf>
    <xf numFmtId="0" fontId="8" fillId="3" borderId="7" xfId="0" applyFont="1" applyFill="1" applyBorder="1" applyAlignment="1">
      <alignment vertical="center" wrapText="1"/>
    </xf>
    <xf numFmtId="170" fontId="8" fillId="3" borderId="8" xfId="7" applyNumberFormat="1" applyFont="1" applyFill="1" applyBorder="1" applyAlignment="1">
      <alignment horizontal="center" vertical="center" wrapText="1"/>
    </xf>
    <xf numFmtId="0" fontId="40" fillId="0" borderId="17" xfId="0" applyFont="1" applyBorder="1" applyAlignment="1">
      <alignment vertical="top" wrapText="1"/>
    </xf>
    <xf numFmtId="0" fontId="40" fillId="10" borderId="20" xfId="0" applyFont="1" applyFill="1" applyBorder="1" applyAlignment="1">
      <alignment vertical="top" wrapText="1"/>
    </xf>
    <xf numFmtId="0" fontId="8" fillId="3" borderId="7" xfId="0" applyFont="1" applyFill="1" applyBorder="1" applyAlignment="1">
      <alignment horizontal="center" vertical="center" wrapText="1"/>
    </xf>
    <xf numFmtId="0" fontId="8" fillId="3" borderId="7" xfId="0" applyFont="1" applyFill="1" applyBorder="1" applyAlignment="1">
      <alignment vertical="center" wrapText="1"/>
    </xf>
    <xf numFmtId="9" fontId="8" fillId="12" borderId="8" xfId="0" applyNumberFormat="1" applyFont="1" applyFill="1" applyBorder="1" applyAlignment="1">
      <alignment horizontal="center" vertical="center"/>
    </xf>
    <xf numFmtId="0" fontId="8" fillId="12" borderId="7" xfId="0" applyFont="1" applyFill="1" applyBorder="1" applyAlignment="1">
      <alignment vertical="center" wrapText="1"/>
    </xf>
    <xf numFmtId="3" fontId="8" fillId="12" borderId="8" xfId="1" applyNumberFormat="1" applyFont="1" applyFill="1" applyBorder="1" applyAlignment="1">
      <alignment horizontal="center" vertical="center"/>
    </xf>
    <xf numFmtId="0" fontId="8" fillId="12" borderId="7" xfId="0" applyFont="1" applyFill="1" applyBorder="1" applyAlignment="1">
      <alignment horizontal="left" vertical="center" wrapText="1"/>
    </xf>
    <xf numFmtId="3" fontId="90" fillId="12" borderId="8" xfId="1" applyNumberFormat="1" applyFont="1" applyFill="1" applyBorder="1" applyAlignment="1">
      <alignment horizontal="center" vertical="center"/>
    </xf>
    <xf numFmtId="9" fontId="90" fillId="12" borderId="8" xfId="0" applyNumberFormat="1" applyFont="1" applyFill="1" applyBorder="1" applyAlignment="1">
      <alignment horizontal="center" vertical="center"/>
    </xf>
    <xf numFmtId="9" fontId="13" fillId="0" borderId="8" xfId="1" applyFont="1" applyBorder="1" applyAlignment="1">
      <alignment horizontal="center" vertical="center"/>
    </xf>
    <xf numFmtId="9" fontId="8" fillId="0" borderId="8" xfId="1" applyFont="1" applyBorder="1" applyAlignment="1">
      <alignment horizontal="center" vertical="center"/>
    </xf>
    <xf numFmtId="165" fontId="8" fillId="0" borderId="8" xfId="1" applyNumberFormat="1" applyFont="1" applyBorder="1" applyAlignment="1">
      <alignment horizontal="center" vertical="center"/>
    </xf>
    <xf numFmtId="3" fontId="8" fillId="0" borderId="7" xfId="0" applyNumberFormat="1" applyFont="1" applyFill="1" applyBorder="1" applyAlignment="1">
      <alignment horizontal="center" vertical="center" wrapText="1"/>
    </xf>
    <xf numFmtId="3" fontId="13" fillId="0" borderId="8" xfId="0" applyNumberFormat="1" applyFont="1" applyFill="1" applyBorder="1" applyAlignment="1">
      <alignment horizontal="center" vertical="center"/>
    </xf>
    <xf numFmtId="3" fontId="8" fillId="0" borderId="8" xfId="0" applyNumberFormat="1" applyFont="1" applyFill="1" applyBorder="1" applyAlignment="1">
      <alignment horizontal="center" vertical="center"/>
    </xf>
    <xf numFmtId="0" fontId="25" fillId="0" borderId="2" xfId="0" applyFont="1" applyBorder="1" applyAlignment="1">
      <alignment horizontal="left"/>
    </xf>
    <xf numFmtId="0" fontId="25" fillId="0" borderId="3" xfId="0" applyFont="1" applyBorder="1" applyAlignment="1">
      <alignment horizontal="left"/>
    </xf>
    <xf numFmtId="0" fontId="25" fillId="0" borderId="4" xfId="0" applyFont="1" applyBorder="1" applyAlignment="1">
      <alignment horizontal="left"/>
    </xf>
    <xf numFmtId="0" fontId="35" fillId="0" borderId="0" xfId="0" applyFont="1" applyAlignment="1">
      <alignment horizontal="left"/>
    </xf>
    <xf numFmtId="0" fontId="3" fillId="0" borderId="0" xfId="0" applyFont="1" applyAlignment="1">
      <alignment horizontal="center"/>
    </xf>
    <xf numFmtId="0" fontId="27" fillId="3" borderId="1" xfId="0" applyFont="1" applyFill="1" applyBorder="1" applyAlignment="1">
      <alignment horizontal="left" vertical="center"/>
    </xf>
    <xf numFmtId="49" fontId="27" fillId="3" borderId="2" xfId="0" applyNumberFormat="1" applyFont="1" applyFill="1" applyBorder="1" applyAlignment="1">
      <alignment horizontal="left" vertical="center"/>
    </xf>
    <xf numFmtId="49" fontId="27" fillId="3" borderId="3" xfId="0" applyNumberFormat="1" applyFont="1" applyFill="1" applyBorder="1" applyAlignment="1">
      <alignment horizontal="left" vertical="center"/>
    </xf>
    <xf numFmtId="49" fontId="27" fillId="3" borderId="4" xfId="0" applyNumberFormat="1" applyFont="1" applyFill="1" applyBorder="1" applyAlignment="1">
      <alignment horizontal="left" vertical="center"/>
    </xf>
    <xf numFmtId="0" fontId="27" fillId="3" borderId="2" xfId="0" applyFont="1" applyFill="1" applyBorder="1" applyAlignment="1">
      <alignment horizontal="left" vertical="center" wrapText="1"/>
    </xf>
    <xf numFmtId="0" fontId="27" fillId="3" borderId="3" xfId="0" applyFont="1" applyFill="1" applyBorder="1" applyAlignment="1">
      <alignment horizontal="left" vertical="center" wrapText="1"/>
    </xf>
    <xf numFmtId="0" fontId="27" fillId="3" borderId="4" xfId="0" applyFont="1" applyFill="1" applyBorder="1" applyAlignment="1">
      <alignment horizontal="left" vertical="center" wrapText="1"/>
    </xf>
    <xf numFmtId="0" fontId="25" fillId="4" borderId="2" xfId="0" applyFont="1" applyFill="1" applyBorder="1" applyAlignment="1">
      <alignment horizontal="left" vertical="center" wrapText="1"/>
    </xf>
    <xf numFmtId="0" fontId="25" fillId="4" borderId="3" xfId="0" applyFont="1" applyFill="1" applyBorder="1" applyAlignment="1">
      <alignment horizontal="left" vertical="center" wrapText="1"/>
    </xf>
    <xf numFmtId="0" fontId="25" fillId="4" borderId="4" xfId="0" applyFont="1" applyFill="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4" borderId="3" xfId="0" applyFont="1" applyFill="1" applyBorder="1" applyAlignment="1">
      <alignment horizontal="left" vertical="center" wrapText="1"/>
    </xf>
    <xf numFmtId="0" fontId="27" fillId="4" borderId="3" xfId="0" applyFont="1" applyFill="1" applyBorder="1" applyAlignment="1">
      <alignment horizontal="left" vertical="center"/>
    </xf>
    <xf numFmtId="0" fontId="27" fillId="4" borderId="4" xfId="0" applyFont="1" applyFill="1" applyBorder="1" applyAlignment="1">
      <alignment horizontal="left" vertical="center"/>
    </xf>
    <xf numFmtId="0" fontId="27" fillId="3" borderId="5" xfId="0" applyFont="1" applyFill="1" applyBorder="1" applyAlignment="1">
      <alignment horizontal="left" vertical="center" wrapText="1"/>
    </xf>
    <xf numFmtId="0" fontId="27" fillId="3" borderId="7"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27" fillId="0" borderId="3"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5" fillId="4" borderId="2" xfId="0" applyFont="1" applyFill="1" applyBorder="1" applyAlignment="1">
      <alignment horizontal="left" vertical="center"/>
    </xf>
    <xf numFmtId="0" fontId="25" fillId="4" borderId="3" xfId="0" applyFont="1" applyFill="1" applyBorder="1" applyAlignment="1">
      <alignment horizontal="left" vertical="center"/>
    </xf>
    <xf numFmtId="0" fontId="25" fillId="4" borderId="4" xfId="0" applyFont="1" applyFill="1" applyBorder="1" applyAlignment="1">
      <alignment horizontal="left" vertical="center"/>
    </xf>
    <xf numFmtId="0" fontId="27" fillId="4" borderId="2" xfId="0" applyFont="1" applyFill="1" applyBorder="1" applyAlignment="1">
      <alignment horizontal="left"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9" fontId="27" fillId="4" borderId="2" xfId="0" applyNumberFormat="1" applyFont="1" applyFill="1" applyBorder="1" applyAlignment="1">
      <alignment horizontal="left" vertical="center"/>
    </xf>
    <xf numFmtId="9" fontId="27" fillId="4" borderId="3" xfId="0" applyNumberFormat="1" applyFont="1" applyFill="1" applyBorder="1" applyAlignment="1">
      <alignment horizontal="left" vertical="center"/>
    </xf>
    <xf numFmtId="9" fontId="27" fillId="4" borderId="4" xfId="0" applyNumberFormat="1" applyFont="1" applyFill="1" applyBorder="1" applyAlignment="1">
      <alignment horizontal="left" vertical="center"/>
    </xf>
    <xf numFmtId="0" fontId="27" fillId="3" borderId="9" xfId="0" applyFont="1" applyFill="1" applyBorder="1" applyAlignment="1">
      <alignment horizontal="left" vertical="center" wrapText="1"/>
    </xf>
    <xf numFmtId="0" fontId="27" fillId="3" borderId="10" xfId="0" applyFont="1" applyFill="1" applyBorder="1" applyAlignment="1">
      <alignment horizontal="left" vertical="center"/>
    </xf>
    <xf numFmtId="0" fontId="27" fillId="3" borderId="11" xfId="0" applyFont="1" applyFill="1" applyBorder="1" applyAlignment="1">
      <alignment horizontal="left" vertical="center"/>
    </xf>
    <xf numFmtId="0" fontId="27" fillId="3" borderId="12" xfId="0" applyFont="1" applyFill="1" applyBorder="1" applyAlignment="1">
      <alignment horizontal="left" vertical="center"/>
    </xf>
    <xf numFmtId="0" fontId="27" fillId="3" borderId="13" xfId="0" applyFont="1" applyFill="1" applyBorder="1" applyAlignment="1">
      <alignment horizontal="left" vertical="center"/>
    </xf>
    <xf numFmtId="0" fontId="27" fillId="3" borderId="0" xfId="0" applyFont="1" applyFill="1" applyBorder="1" applyAlignment="1">
      <alignment horizontal="left" vertical="center"/>
    </xf>
    <xf numFmtId="0" fontId="27" fillId="3" borderId="6" xfId="0" applyFont="1" applyFill="1" applyBorder="1" applyAlignment="1">
      <alignment horizontal="left" vertical="center"/>
    </xf>
    <xf numFmtId="0" fontId="27" fillId="3" borderId="14" xfId="0" applyFont="1" applyFill="1" applyBorder="1" applyAlignment="1">
      <alignment horizontal="left" vertical="center"/>
    </xf>
    <xf numFmtId="0" fontId="27" fillId="3" borderId="15" xfId="0" applyFont="1" applyFill="1" applyBorder="1" applyAlignment="1">
      <alignment horizontal="left" vertical="center"/>
    </xf>
    <xf numFmtId="0" fontId="27" fillId="3" borderId="8" xfId="0" applyFont="1" applyFill="1" applyBorder="1" applyAlignment="1">
      <alignment horizontal="left" vertical="center"/>
    </xf>
    <xf numFmtId="0" fontId="42" fillId="3" borderId="2"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4" xfId="0" applyFont="1" applyFill="1" applyBorder="1" applyAlignment="1">
      <alignment horizontal="center" vertical="center" wrapText="1"/>
    </xf>
    <xf numFmtId="0" fontId="42" fillId="3" borderId="2" xfId="0" applyFont="1" applyFill="1" applyBorder="1" applyAlignment="1">
      <alignment horizontal="center" vertical="center"/>
    </xf>
    <xf numFmtId="0" fontId="42" fillId="3" borderId="3" xfId="0" applyFont="1" applyFill="1" applyBorder="1" applyAlignment="1">
      <alignment horizontal="center" vertical="center"/>
    </xf>
    <xf numFmtId="0" fontId="42" fillId="3" borderId="4" xfId="0" applyFont="1" applyFill="1" applyBorder="1" applyAlignment="1">
      <alignment horizontal="center" vertical="center"/>
    </xf>
    <xf numFmtId="0" fontId="42" fillId="3" borderId="5" xfId="0" applyFont="1" applyFill="1" applyBorder="1" applyAlignment="1">
      <alignment horizontal="center" vertical="center" wrapText="1"/>
    </xf>
    <xf numFmtId="0" fontId="42" fillId="3" borderId="7" xfId="0" applyFont="1" applyFill="1" applyBorder="1" applyAlignment="1">
      <alignment horizontal="center" vertical="center" wrapText="1"/>
    </xf>
    <xf numFmtId="0" fontId="43" fillId="4" borderId="2" xfId="0" applyFont="1" applyFill="1" applyBorder="1" applyAlignment="1">
      <alignment horizontal="center" vertical="center" wrapText="1"/>
    </xf>
    <xf numFmtId="0" fontId="43" fillId="4" borderId="3" xfId="0" applyFont="1" applyFill="1" applyBorder="1" applyAlignment="1">
      <alignment horizontal="center" vertical="center" wrapText="1"/>
    </xf>
    <xf numFmtId="0" fontId="43" fillId="4" borderId="4" xfId="0" applyFont="1" applyFill="1" applyBorder="1" applyAlignment="1">
      <alignment horizontal="center" vertical="center" wrapText="1"/>
    </xf>
    <xf numFmtId="0" fontId="42" fillId="3" borderId="5" xfId="0" applyFont="1" applyFill="1" applyBorder="1" applyAlignment="1">
      <alignment vertical="center" wrapText="1"/>
    </xf>
    <xf numFmtId="0" fontId="42" fillId="3" borderId="9" xfId="0" applyFont="1" applyFill="1" applyBorder="1" applyAlignment="1">
      <alignment vertical="center" wrapText="1"/>
    </xf>
    <xf numFmtId="0" fontId="42" fillId="3" borderId="11" xfId="0" applyFont="1" applyFill="1" applyBorder="1" applyAlignment="1">
      <alignment horizontal="center" vertical="center"/>
    </xf>
    <xf numFmtId="0" fontId="42" fillId="3" borderId="12" xfId="0" applyFont="1" applyFill="1" applyBorder="1" applyAlignment="1">
      <alignment horizontal="center" vertical="center"/>
    </xf>
    <xf numFmtId="0" fontId="42" fillId="3" borderId="0" xfId="0" applyFont="1" applyFill="1" applyBorder="1" applyAlignment="1">
      <alignment horizontal="center" vertical="center"/>
    </xf>
    <xf numFmtId="0" fontId="42" fillId="3" borderId="6" xfId="0" applyFont="1" applyFill="1" applyBorder="1" applyAlignment="1">
      <alignment horizontal="center" vertical="center"/>
    </xf>
    <xf numFmtId="0" fontId="42" fillId="3" borderId="7" xfId="0" applyFont="1" applyFill="1" applyBorder="1" applyAlignment="1">
      <alignment vertical="center" wrapText="1"/>
    </xf>
    <xf numFmtId="0" fontId="42" fillId="3" borderId="15" xfId="0" applyFont="1" applyFill="1" applyBorder="1" applyAlignment="1">
      <alignment horizontal="center" vertical="center"/>
    </xf>
    <xf numFmtId="0" fontId="42" fillId="3" borderId="8" xfId="0" applyFont="1" applyFill="1" applyBorder="1" applyAlignment="1">
      <alignment horizontal="center" vertical="center"/>
    </xf>
    <xf numFmtId="0" fontId="43" fillId="0" borderId="2" xfId="0" applyFont="1" applyFill="1" applyBorder="1" applyAlignment="1">
      <alignment horizontal="left" vertical="center" wrapText="1"/>
    </xf>
    <xf numFmtId="0" fontId="43" fillId="0" borderId="3" xfId="0" applyFont="1" applyFill="1" applyBorder="1" applyAlignment="1">
      <alignment horizontal="left" vertical="center" wrapText="1"/>
    </xf>
    <xf numFmtId="0" fontId="43" fillId="0" borderId="4" xfId="0" applyFont="1" applyFill="1" applyBorder="1" applyAlignment="1">
      <alignment horizontal="left" vertical="center" wrapText="1"/>
    </xf>
    <xf numFmtId="0" fontId="43" fillId="3" borderId="2" xfId="0" applyFont="1" applyFill="1" applyBorder="1" applyAlignment="1">
      <alignment horizontal="center" vertical="center" wrapText="1"/>
    </xf>
    <xf numFmtId="0" fontId="43" fillId="3" borderId="3" xfId="0" applyFont="1" applyFill="1" applyBorder="1" applyAlignment="1">
      <alignment horizontal="center" vertical="center" wrapText="1"/>
    </xf>
    <xf numFmtId="0" fontId="43" fillId="3" borderId="4" xfId="0" applyFont="1" applyFill="1" applyBorder="1" applyAlignment="1">
      <alignment horizontal="center" vertical="center" wrapText="1"/>
    </xf>
    <xf numFmtId="0" fontId="47" fillId="4" borderId="2" xfId="0" applyFont="1" applyFill="1" applyBorder="1" applyAlignment="1">
      <alignment horizontal="center" vertical="center" wrapText="1"/>
    </xf>
    <xf numFmtId="0" fontId="47" fillId="4" borderId="3" xfId="0" applyFont="1" applyFill="1" applyBorder="1" applyAlignment="1">
      <alignment horizontal="center" vertical="center" wrapText="1"/>
    </xf>
    <xf numFmtId="0" fontId="47" fillId="4" borderId="4" xfId="0" applyFont="1" applyFill="1" applyBorder="1" applyAlignment="1">
      <alignment horizontal="center" vertical="center" wrapText="1"/>
    </xf>
    <xf numFmtId="0" fontId="43" fillId="4" borderId="2" xfId="0" applyFont="1" applyFill="1" applyBorder="1" applyAlignment="1">
      <alignment horizontal="center" vertical="center"/>
    </xf>
    <xf numFmtId="0" fontId="43" fillId="4" borderId="3" xfId="0" applyFont="1" applyFill="1" applyBorder="1" applyAlignment="1">
      <alignment horizontal="center" vertical="center"/>
    </xf>
    <xf numFmtId="0" fontId="43" fillId="4" borderId="4" xfId="0" applyFont="1" applyFill="1" applyBorder="1" applyAlignment="1">
      <alignment horizontal="center" vertical="center"/>
    </xf>
    <xf numFmtId="0" fontId="43" fillId="5" borderId="2" xfId="0" applyFont="1" applyFill="1" applyBorder="1" applyAlignment="1">
      <alignment horizontal="left" vertical="center" wrapText="1"/>
    </xf>
    <xf numFmtId="0" fontId="43" fillId="5" borderId="3" xfId="0" applyFont="1" applyFill="1" applyBorder="1" applyAlignment="1">
      <alignment horizontal="left" vertical="center" wrapText="1"/>
    </xf>
    <xf numFmtId="0" fontId="43" fillId="5" borderId="4" xfId="0" applyFont="1" applyFill="1" applyBorder="1" applyAlignment="1">
      <alignment horizontal="left" vertical="center" wrapText="1"/>
    </xf>
    <xf numFmtId="0" fontId="42" fillId="3" borderId="10" xfId="0" applyFont="1" applyFill="1" applyBorder="1" applyAlignment="1">
      <alignment horizontal="center" vertical="center"/>
    </xf>
    <xf numFmtId="0" fontId="42" fillId="3" borderId="13" xfId="0" applyFont="1" applyFill="1" applyBorder="1" applyAlignment="1">
      <alignment horizontal="center" vertical="center"/>
    </xf>
    <xf numFmtId="0" fontId="42" fillId="3" borderId="14" xfId="0" applyFont="1" applyFill="1" applyBorder="1" applyAlignment="1">
      <alignment horizontal="center" vertical="center"/>
    </xf>
    <xf numFmtId="9" fontId="42" fillId="4" borderId="2" xfId="0" applyNumberFormat="1" applyFont="1" applyFill="1" applyBorder="1" applyAlignment="1">
      <alignment horizontal="center" vertical="center"/>
    </xf>
    <xf numFmtId="9" fontId="42" fillId="4" borderId="3" xfId="0" applyNumberFormat="1" applyFont="1" applyFill="1" applyBorder="1" applyAlignment="1">
      <alignment horizontal="center" vertical="center"/>
    </xf>
    <xf numFmtId="9" fontId="42" fillId="4" borderId="4" xfId="0" applyNumberFormat="1" applyFont="1" applyFill="1" applyBorder="1" applyAlignment="1">
      <alignment horizontal="center" vertical="center"/>
    </xf>
    <xf numFmtId="0" fontId="42" fillId="4" borderId="2" xfId="0" applyFont="1" applyFill="1" applyBorder="1" applyAlignment="1">
      <alignment horizontal="center" vertical="center"/>
    </xf>
    <xf numFmtId="0" fontId="42" fillId="4" borderId="3" xfId="0" applyFont="1" applyFill="1" applyBorder="1" applyAlignment="1">
      <alignment horizontal="center" vertical="center"/>
    </xf>
    <xf numFmtId="0" fontId="42" fillId="4" borderId="4" xfId="0" applyFont="1" applyFill="1" applyBorder="1" applyAlignment="1">
      <alignment horizontal="center" vertical="center"/>
    </xf>
    <xf numFmtId="0" fontId="42" fillId="3" borderId="2" xfId="0" applyFont="1" applyFill="1" applyBorder="1" applyAlignment="1">
      <alignment horizontal="left" vertical="center" wrapText="1"/>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1" xfId="0" applyFont="1" applyFill="1" applyBorder="1" applyAlignment="1">
      <alignment horizontal="center" vertical="center"/>
    </xf>
    <xf numFmtId="49" fontId="42" fillId="3" borderId="2" xfId="0" applyNumberFormat="1" applyFont="1" applyFill="1" applyBorder="1" applyAlignment="1">
      <alignment horizontal="center" vertical="center"/>
    </xf>
    <xf numFmtId="49" fontId="42" fillId="3" borderId="3" xfId="0" applyNumberFormat="1" applyFont="1" applyFill="1" applyBorder="1" applyAlignment="1">
      <alignment horizontal="center" vertical="center"/>
    </xf>
    <xf numFmtId="49" fontId="42" fillId="3" borderId="4" xfId="0" applyNumberFormat="1" applyFont="1" applyFill="1" applyBorder="1" applyAlignment="1">
      <alignment horizontal="center" vertical="center"/>
    </xf>
    <xf numFmtId="0" fontId="43" fillId="0" borderId="2" xfId="0" applyFont="1" applyBorder="1" applyAlignment="1">
      <alignment horizontal="center"/>
    </xf>
    <xf numFmtId="0" fontId="43" fillId="0" borderId="3" xfId="0" applyFont="1" applyBorder="1" applyAlignment="1">
      <alignment horizontal="center"/>
    </xf>
    <xf numFmtId="0" fontId="43" fillId="0" borderId="4" xfId="0" applyFont="1" applyBorder="1" applyAlignment="1">
      <alignment horizontal="center"/>
    </xf>
    <xf numFmtId="0" fontId="42" fillId="0" borderId="2" xfId="0" applyFont="1" applyBorder="1" applyAlignment="1">
      <alignment horizontal="left" vertical="center" wrapText="1"/>
    </xf>
    <xf numFmtId="0" fontId="42" fillId="0" borderId="3" xfId="0" applyFont="1" applyBorder="1" applyAlignment="1">
      <alignment horizontal="left" vertical="center" wrapText="1"/>
    </xf>
    <xf numFmtId="0" fontId="42" fillId="0" borderId="4" xfId="0" applyFont="1" applyBorder="1" applyAlignment="1">
      <alignment horizontal="left" vertical="center" wrapText="1"/>
    </xf>
    <xf numFmtId="0" fontId="42" fillId="4" borderId="3" xfId="0" applyFont="1" applyFill="1" applyBorder="1" applyAlignment="1">
      <alignment horizontal="left" vertical="center" wrapText="1"/>
    </xf>
    <xf numFmtId="0" fontId="42" fillId="4" borderId="3" xfId="0" applyFont="1" applyFill="1" applyBorder="1" applyAlignment="1">
      <alignment horizontal="left" vertical="center"/>
    </xf>
    <xf numFmtId="0" fontId="42" fillId="4" borderId="4" xfId="0" applyFont="1" applyFill="1" applyBorder="1" applyAlignment="1">
      <alignment horizontal="left" vertical="center"/>
    </xf>
    <xf numFmtId="0" fontId="43" fillId="4" borderId="2" xfId="0" applyFont="1" applyFill="1" applyBorder="1" applyAlignment="1">
      <alignment horizontal="left" vertical="center" wrapText="1"/>
    </xf>
    <xf numFmtId="0" fontId="43" fillId="4" borderId="3" xfId="0" applyFont="1" applyFill="1" applyBorder="1" applyAlignment="1">
      <alignment horizontal="left" vertical="center" wrapText="1"/>
    </xf>
    <xf numFmtId="0" fontId="43" fillId="4" borderId="4" xfId="0" applyFont="1" applyFill="1" applyBorder="1" applyAlignment="1">
      <alignment horizontal="left" vertical="center" wrapText="1"/>
    </xf>
    <xf numFmtId="0" fontId="58" fillId="2" borderId="26" xfId="0" applyFont="1" applyFill="1" applyBorder="1" applyAlignment="1">
      <alignment horizontal="left" vertical="top" wrapText="1"/>
    </xf>
    <xf numFmtId="0" fontId="56" fillId="2" borderId="27" xfId="0" applyFont="1" applyFill="1" applyBorder="1" applyAlignment="1">
      <alignment horizontal="left" vertical="top" wrapText="1"/>
    </xf>
    <xf numFmtId="0" fontId="56" fillId="2" borderId="28" xfId="0" applyFont="1" applyFill="1" applyBorder="1" applyAlignment="1">
      <alignment horizontal="left" vertical="top" wrapText="1"/>
    </xf>
    <xf numFmtId="0" fontId="56" fillId="2" borderId="21" xfId="0" applyFont="1" applyFill="1" applyBorder="1" applyAlignment="1">
      <alignment horizontal="left" vertical="top" wrapText="1"/>
    </xf>
    <xf numFmtId="0" fontId="56" fillId="2" borderId="22" xfId="0" applyFont="1" applyFill="1" applyBorder="1" applyAlignment="1">
      <alignment horizontal="left" vertical="top" wrapText="1"/>
    </xf>
    <xf numFmtId="0" fontId="56" fillId="2" borderId="23" xfId="0" applyFont="1" applyFill="1" applyBorder="1" applyAlignment="1">
      <alignment horizontal="left" vertical="top" wrapText="1"/>
    </xf>
    <xf numFmtId="0" fontId="57" fillId="2" borderId="24" xfId="0" applyFont="1" applyFill="1" applyBorder="1" applyAlignment="1">
      <alignment horizontal="left" vertical="top" wrapText="1"/>
    </xf>
    <xf numFmtId="0" fontId="58" fillId="2" borderId="0" xfId="0" applyFont="1" applyFill="1" applyBorder="1" applyAlignment="1">
      <alignment horizontal="left" vertical="top" wrapText="1"/>
    </xf>
    <xf numFmtId="0" fontId="58" fillId="2" borderId="25" xfId="0" applyFont="1" applyFill="1" applyBorder="1" applyAlignment="1">
      <alignment horizontal="left" vertical="top" wrapText="1"/>
    </xf>
    <xf numFmtId="0" fontId="56" fillId="2" borderId="24" xfId="0" applyFont="1" applyFill="1" applyBorder="1" applyAlignment="1">
      <alignment horizontal="left" wrapText="1"/>
    </xf>
    <xf numFmtId="0" fontId="56" fillId="2" borderId="0" xfId="0" applyFont="1" applyFill="1" applyBorder="1" applyAlignment="1">
      <alignment horizontal="left" wrapText="1"/>
    </xf>
    <xf numFmtId="0" fontId="56" fillId="2" borderId="25" xfId="0" applyFont="1" applyFill="1" applyBorder="1" applyAlignment="1">
      <alignment horizontal="left" wrapText="1"/>
    </xf>
    <xf numFmtId="0" fontId="58" fillId="2" borderId="24" xfId="0" applyFont="1" applyFill="1" applyBorder="1" applyAlignment="1">
      <alignment horizontal="left" vertical="top" wrapText="1"/>
    </xf>
    <xf numFmtId="0" fontId="56" fillId="2" borderId="0" xfId="0" applyFont="1" applyFill="1" applyBorder="1" applyAlignment="1">
      <alignment horizontal="left" vertical="top" wrapText="1"/>
    </xf>
    <xf numFmtId="0" fontId="56" fillId="2" borderId="25" xfId="0" applyFont="1" applyFill="1" applyBorder="1" applyAlignment="1">
      <alignment horizontal="left" vertical="top" wrapText="1"/>
    </xf>
    <xf numFmtId="0" fontId="72" fillId="3" borderId="2" xfId="0" applyFont="1" applyFill="1" applyBorder="1" applyAlignment="1">
      <alignment horizontal="center" vertical="center" wrapText="1"/>
    </xf>
    <xf numFmtId="0" fontId="73" fillId="3" borderId="3" xfId="0" applyFont="1" applyFill="1" applyBorder="1" applyAlignment="1">
      <alignment horizontal="center" vertical="center" wrapText="1"/>
    </xf>
    <xf numFmtId="0" fontId="73" fillId="3" borderId="4" xfId="0" applyFont="1" applyFill="1" applyBorder="1" applyAlignment="1">
      <alignment horizontal="center" vertical="center" wrapText="1"/>
    </xf>
    <xf numFmtId="3" fontId="45" fillId="0" borderId="10" xfId="0" applyNumberFormat="1" applyFont="1" applyFill="1" applyBorder="1" applyAlignment="1">
      <alignment horizontal="center" vertical="center"/>
    </xf>
    <xf numFmtId="3" fontId="45" fillId="0" borderId="11" xfId="0" applyNumberFormat="1" applyFont="1" applyFill="1" applyBorder="1" applyAlignment="1">
      <alignment horizontal="center" vertical="center"/>
    </xf>
    <xf numFmtId="3" fontId="45" fillId="0" borderId="12" xfId="0" applyNumberFormat="1" applyFont="1" applyFill="1" applyBorder="1" applyAlignment="1">
      <alignment horizontal="center" vertical="center"/>
    </xf>
    <xf numFmtId="0" fontId="43" fillId="0" borderId="72" xfId="0" applyFont="1" applyFill="1" applyBorder="1" applyAlignment="1">
      <alignment horizontal="center" vertical="center" wrapText="1"/>
    </xf>
    <xf numFmtId="0" fontId="43" fillId="0" borderId="73" xfId="0" applyFont="1" applyFill="1" applyBorder="1" applyAlignment="1">
      <alignment horizontal="center" vertical="center" wrapText="1"/>
    </xf>
    <xf numFmtId="0" fontId="43" fillId="0" borderId="74" xfId="0" applyFont="1" applyFill="1" applyBorder="1" applyAlignment="1">
      <alignment horizontal="center" vertical="center" wrapText="1"/>
    </xf>
    <xf numFmtId="0" fontId="42" fillId="3" borderId="14" xfId="0" applyFont="1" applyFill="1" applyBorder="1" applyAlignment="1">
      <alignment horizontal="center" vertical="center" wrapText="1"/>
    </xf>
    <xf numFmtId="0" fontId="42" fillId="3" borderId="15" xfId="0" applyFont="1" applyFill="1" applyBorder="1" applyAlignment="1">
      <alignment horizontal="center" vertical="center" wrapText="1"/>
    </xf>
    <xf numFmtId="0" fontId="42" fillId="3" borderId="8"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3" fillId="0" borderId="2" xfId="0" applyFont="1" applyFill="1" applyBorder="1" applyAlignment="1">
      <alignment horizontal="center" vertical="center"/>
    </xf>
    <xf numFmtId="0" fontId="43" fillId="0" borderId="3" xfId="0" applyFont="1" applyFill="1" applyBorder="1" applyAlignment="1">
      <alignment horizontal="center" vertical="center"/>
    </xf>
    <xf numFmtId="0" fontId="43" fillId="0" borderId="4" xfId="0" applyFont="1" applyFill="1" applyBorder="1" applyAlignment="1">
      <alignment horizontal="center" vertical="center"/>
    </xf>
    <xf numFmtId="9" fontId="43" fillId="4" borderId="2" xfId="0" applyNumberFormat="1" applyFont="1" applyFill="1" applyBorder="1" applyAlignment="1">
      <alignment horizontal="center" vertical="center"/>
    </xf>
    <xf numFmtId="9" fontId="43" fillId="4" borderId="3" xfId="0" applyNumberFormat="1" applyFont="1" applyFill="1" applyBorder="1" applyAlignment="1">
      <alignment horizontal="center" vertical="center"/>
    </xf>
    <xf numFmtId="9" fontId="43" fillId="4" borderId="4" xfId="0" applyNumberFormat="1" applyFont="1" applyFill="1" applyBorder="1" applyAlignment="1">
      <alignment horizontal="center" vertical="center"/>
    </xf>
    <xf numFmtId="0" fontId="72" fillId="3" borderId="3" xfId="0" applyFont="1" applyFill="1" applyBorder="1" applyAlignment="1">
      <alignment horizontal="center" vertical="center" wrapText="1"/>
    </xf>
    <xf numFmtId="0" fontId="72" fillId="3" borderId="4" xfId="0" applyFont="1" applyFill="1" applyBorder="1" applyAlignment="1">
      <alignment horizontal="center" vertical="center" wrapText="1"/>
    </xf>
    <xf numFmtId="0" fontId="42" fillId="4" borderId="3"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6" fillId="3" borderId="1" xfId="0" applyFont="1" applyFill="1" applyBorder="1" applyAlignment="1">
      <alignment horizontal="center" vertical="center"/>
    </xf>
    <xf numFmtId="49" fontId="6" fillId="3" borderId="2" xfId="0" applyNumberFormat="1" applyFont="1" applyFill="1" applyBorder="1" applyAlignment="1">
      <alignment horizontal="center" vertical="center"/>
    </xf>
    <xf numFmtId="49" fontId="6" fillId="3" borderId="3" xfId="0" applyNumberFormat="1" applyFont="1" applyFill="1" applyBorder="1" applyAlignment="1">
      <alignment horizontal="center" vertical="center"/>
    </xf>
    <xf numFmtId="49" fontId="6" fillId="3" borderId="4" xfId="0" applyNumberFormat="1"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8" fillId="3" borderId="5"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8" fillId="4" borderId="2" xfId="0" applyFont="1" applyFill="1" applyBorder="1" applyAlignment="1">
      <alignment horizontal="center" vertical="center" wrapText="1"/>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91" fillId="3" borderId="2" xfId="0" applyFont="1" applyFill="1" applyBorder="1" applyAlignment="1">
      <alignment horizontal="center" vertical="center" wrapText="1"/>
    </xf>
    <xf numFmtId="0" fontId="91" fillId="3" borderId="3" xfId="0" applyFont="1" applyFill="1" applyBorder="1" applyAlignment="1">
      <alignment horizontal="center" vertical="center" wrapText="1"/>
    </xf>
    <xf numFmtId="0" fontId="91" fillId="3" borderId="4" xfId="0"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8" fillId="3" borderId="5" xfId="0" applyFont="1" applyFill="1" applyBorder="1" applyAlignment="1">
      <alignment vertical="center" wrapText="1"/>
    </xf>
    <xf numFmtId="0" fontId="8" fillId="3" borderId="9" xfId="0" applyFont="1" applyFill="1" applyBorder="1" applyAlignment="1">
      <alignment vertical="center" wrapText="1"/>
    </xf>
    <xf numFmtId="0" fontId="8" fillId="3" borderId="7" xfId="0" applyFont="1" applyFill="1" applyBorder="1" applyAlignment="1">
      <alignment vertical="center" wrapText="1"/>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8" fillId="3" borderId="13" xfId="0" applyFont="1" applyFill="1" applyBorder="1" applyAlignment="1">
      <alignment horizontal="center" vertical="center"/>
    </xf>
    <xf numFmtId="0" fontId="8" fillId="3" borderId="0" xfId="0" applyFont="1" applyFill="1" applyBorder="1" applyAlignment="1">
      <alignment horizontal="center" vertical="center"/>
    </xf>
    <xf numFmtId="0" fontId="8" fillId="3" borderId="6" xfId="0" applyFont="1" applyFill="1" applyBorder="1" applyAlignment="1">
      <alignment horizontal="center" vertical="center"/>
    </xf>
    <xf numFmtId="0" fontId="8" fillId="3" borderId="14"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8" xfId="0" applyFont="1" applyFill="1" applyBorder="1" applyAlignment="1">
      <alignment horizontal="center" vertical="center"/>
    </xf>
    <xf numFmtId="0" fontId="8" fillId="4" borderId="2" xfId="0" applyFont="1" applyFill="1" applyBorder="1" applyAlignment="1">
      <alignment horizontal="center" vertical="center"/>
    </xf>
    <xf numFmtId="9" fontId="8" fillId="4" borderId="2" xfId="0" applyNumberFormat="1" applyFont="1" applyFill="1" applyBorder="1" applyAlignment="1">
      <alignment horizontal="center" vertical="center"/>
    </xf>
    <xf numFmtId="9" fontId="8" fillId="4" borderId="3" xfId="0" applyNumberFormat="1" applyFont="1" applyFill="1" applyBorder="1" applyAlignment="1">
      <alignment horizontal="center" vertical="center"/>
    </xf>
    <xf numFmtId="9" fontId="8" fillId="4" borderId="4" xfId="0" applyNumberFormat="1" applyFont="1" applyFill="1" applyBorder="1" applyAlignment="1">
      <alignment horizontal="center" vertical="center"/>
    </xf>
    <xf numFmtId="0" fontId="8" fillId="0" borderId="2"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9" fontId="10" fillId="4" borderId="2" xfId="0" applyNumberFormat="1" applyFont="1" applyFill="1" applyBorder="1" applyAlignment="1">
      <alignment horizontal="center" vertical="center"/>
    </xf>
    <xf numFmtId="9" fontId="10" fillId="4" borderId="3" xfId="0" applyNumberFormat="1" applyFont="1" applyFill="1" applyBorder="1" applyAlignment="1">
      <alignment horizontal="center" vertical="center"/>
    </xf>
    <xf numFmtId="9" fontId="10" fillId="4" borderId="4" xfId="0" applyNumberFormat="1" applyFont="1" applyFill="1" applyBorder="1" applyAlignment="1">
      <alignment horizontal="center" vertical="center"/>
    </xf>
    <xf numFmtId="0" fontId="8" fillId="0" borderId="5" xfId="0" applyFont="1" applyBorder="1" applyAlignment="1">
      <alignment vertical="center" wrapText="1"/>
    </xf>
    <xf numFmtId="0" fontId="8" fillId="0" borderId="9" xfId="0" applyFont="1" applyBorder="1" applyAlignment="1">
      <alignment vertical="center" wrapText="1"/>
    </xf>
    <xf numFmtId="0" fontId="8" fillId="0" borderId="7" xfId="0" applyFont="1" applyBorder="1" applyAlignment="1">
      <alignment vertical="center" wrapText="1"/>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15" xfId="0" applyFont="1" applyBorder="1" applyAlignment="1">
      <alignment horizontal="center" vertical="center"/>
    </xf>
    <xf numFmtId="0" fontId="8" fillId="0" borderId="8" xfId="0" applyFont="1" applyBorder="1" applyAlignment="1">
      <alignment horizontal="center" vertical="center"/>
    </xf>
    <xf numFmtId="0" fontId="32" fillId="3" borderId="1" xfId="0" applyFont="1" applyFill="1" applyBorder="1" applyAlignment="1">
      <alignment horizontal="center" vertical="center"/>
    </xf>
    <xf numFmtId="49" fontId="32" fillId="3" borderId="2" xfId="0" quotePrefix="1" applyNumberFormat="1" applyFont="1" applyFill="1" applyBorder="1" applyAlignment="1">
      <alignment horizontal="center" vertical="center"/>
    </xf>
    <xf numFmtId="49" fontId="32" fillId="3" borderId="3" xfId="0" applyNumberFormat="1" applyFont="1" applyFill="1" applyBorder="1" applyAlignment="1">
      <alignment horizontal="center" vertical="center"/>
    </xf>
    <xf numFmtId="49" fontId="32" fillId="3" borderId="4" xfId="0" applyNumberFormat="1" applyFont="1" applyFill="1" applyBorder="1" applyAlignment="1">
      <alignment horizontal="center" vertical="center"/>
    </xf>
    <xf numFmtId="0" fontId="32" fillId="3" borderId="2"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4" xfId="0" applyFont="1" applyFill="1" applyBorder="1" applyAlignment="1">
      <alignment horizontal="center" vertical="center" wrapText="1"/>
    </xf>
    <xf numFmtId="0" fontId="33" fillId="0" borderId="2" xfId="0" applyFont="1" applyBorder="1" applyAlignment="1">
      <alignment horizontal="center"/>
    </xf>
    <xf numFmtId="0" fontId="33" fillId="0" borderId="3" xfId="0" applyFont="1" applyBorder="1" applyAlignment="1">
      <alignment horizontal="center"/>
    </xf>
    <xf numFmtId="0" fontId="33" fillId="0" borderId="4" xfId="0" applyFont="1" applyBorder="1" applyAlignment="1">
      <alignment horizontal="center"/>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4" xfId="0" applyFont="1" applyFill="1" applyBorder="1" applyAlignment="1">
      <alignment horizontal="center" vertical="center"/>
    </xf>
    <xf numFmtId="0" fontId="32" fillId="4" borderId="2" xfId="0" applyFont="1" applyFill="1" applyBorder="1" applyAlignment="1">
      <alignment horizontal="center" vertical="center"/>
    </xf>
    <xf numFmtId="0" fontId="32" fillId="4" borderId="3" xfId="0" applyFont="1" applyFill="1" applyBorder="1" applyAlignment="1">
      <alignment horizontal="center" vertical="center"/>
    </xf>
    <xf numFmtId="0" fontId="32" fillId="4"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3" borderId="3"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5" xfId="0" applyFont="1" applyFill="1" applyBorder="1" applyAlignment="1">
      <alignment horizontal="center" vertical="center" wrapText="1"/>
    </xf>
    <xf numFmtId="0" fontId="32" fillId="3" borderId="7" xfId="0" applyFont="1" applyFill="1" applyBorder="1" applyAlignment="1">
      <alignment horizontal="center" vertical="center" wrapText="1"/>
    </xf>
    <xf numFmtId="0" fontId="33" fillId="4" borderId="2" xfId="0" applyFont="1" applyFill="1" applyBorder="1" applyAlignment="1">
      <alignment horizontal="center" vertical="center" wrapText="1"/>
    </xf>
    <xf numFmtId="0" fontId="33" fillId="4" borderId="3" xfId="0" applyFont="1" applyFill="1" applyBorder="1" applyAlignment="1">
      <alignment horizontal="center" vertical="center" wrapText="1"/>
    </xf>
    <xf numFmtId="0" fontId="33" fillId="4" borderId="4"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32" fillId="4" borderId="3" xfId="0" applyFont="1" applyFill="1" applyBorder="1" applyAlignment="1">
      <alignment horizontal="center" vertical="center" wrapText="1"/>
    </xf>
    <xf numFmtId="0" fontId="32" fillId="4" borderId="2" xfId="0" applyFont="1" applyFill="1" applyBorder="1" applyAlignment="1">
      <alignment horizontal="center" vertical="center" wrapText="1"/>
    </xf>
    <xf numFmtId="0" fontId="32" fillId="4" borderId="4" xfId="0" applyFont="1" applyFill="1" applyBorder="1" applyAlignment="1">
      <alignment horizontal="center" vertical="center" wrapText="1"/>
    </xf>
    <xf numFmtId="9" fontId="32" fillId="4" borderId="2" xfId="0" applyNumberFormat="1" applyFont="1" applyFill="1" applyBorder="1" applyAlignment="1">
      <alignment horizontal="center" vertical="center"/>
    </xf>
    <xf numFmtId="9" fontId="32" fillId="4" borderId="3" xfId="0" applyNumberFormat="1" applyFont="1" applyFill="1" applyBorder="1" applyAlignment="1">
      <alignment horizontal="center" vertical="center"/>
    </xf>
    <xf numFmtId="9" fontId="32" fillId="4" borderId="4" xfId="0" applyNumberFormat="1" applyFont="1" applyFill="1" applyBorder="1" applyAlignment="1">
      <alignment horizontal="center" vertical="center"/>
    </xf>
    <xf numFmtId="9" fontId="32" fillId="4" borderId="2" xfId="0" applyNumberFormat="1" applyFont="1" applyFill="1" applyBorder="1" applyAlignment="1">
      <alignment horizontal="center" vertical="center" wrapText="1"/>
    </xf>
    <xf numFmtId="9" fontId="32" fillId="4" borderId="3" xfId="0" applyNumberFormat="1" applyFont="1" applyFill="1" applyBorder="1" applyAlignment="1">
      <alignment horizontal="center" vertical="center" wrapText="1"/>
    </xf>
    <xf numFmtId="9" fontId="32" fillId="4" borderId="4" xfId="0" applyNumberFormat="1" applyFont="1" applyFill="1" applyBorder="1" applyAlignment="1">
      <alignment horizontal="center" vertical="center" wrapText="1"/>
    </xf>
    <xf numFmtId="0" fontId="32" fillId="3" borderId="5" xfId="0" applyFont="1" applyFill="1" applyBorder="1" applyAlignment="1">
      <alignment vertical="center" wrapText="1"/>
    </xf>
    <xf numFmtId="0" fontId="32" fillId="3" borderId="9" xfId="0" applyFont="1" applyFill="1" applyBorder="1" applyAlignment="1">
      <alignment vertical="center" wrapText="1"/>
    </xf>
    <xf numFmtId="0" fontId="32" fillId="3" borderId="7" xfId="0" applyFont="1" applyFill="1" applyBorder="1" applyAlignment="1">
      <alignment vertical="center" wrapText="1"/>
    </xf>
    <xf numFmtId="0" fontId="51" fillId="3" borderId="10" xfId="0" applyFont="1" applyFill="1" applyBorder="1" applyAlignment="1">
      <alignment horizontal="center" vertical="center" wrapText="1"/>
    </xf>
    <xf numFmtId="0" fontId="51" fillId="3" borderId="11" xfId="0" applyFont="1" applyFill="1" applyBorder="1" applyAlignment="1">
      <alignment horizontal="center" vertical="center" wrapText="1"/>
    </xf>
    <xf numFmtId="0" fontId="51" fillId="3" borderId="12" xfId="0" applyFont="1" applyFill="1" applyBorder="1" applyAlignment="1">
      <alignment horizontal="center" vertical="center" wrapText="1"/>
    </xf>
    <xf numFmtId="0" fontId="51" fillId="3" borderId="13" xfId="0" applyFont="1" applyFill="1" applyBorder="1" applyAlignment="1">
      <alignment horizontal="center" vertical="center" wrapText="1"/>
    </xf>
    <xf numFmtId="0" fontId="51" fillId="3" borderId="0" xfId="0" applyFont="1" applyFill="1" applyBorder="1" applyAlignment="1">
      <alignment horizontal="center" vertical="center" wrapText="1"/>
    </xf>
    <xf numFmtId="0" fontId="51" fillId="3" borderId="6" xfId="0" applyFont="1" applyFill="1" applyBorder="1" applyAlignment="1">
      <alignment horizontal="center" vertical="center" wrapText="1"/>
    </xf>
    <xf numFmtId="0" fontId="51" fillId="3" borderId="14" xfId="0" applyFont="1" applyFill="1" applyBorder="1" applyAlignment="1">
      <alignment horizontal="center" vertical="center" wrapText="1"/>
    </xf>
    <xf numFmtId="0" fontId="51" fillId="3" borderId="15" xfId="0" applyFont="1" applyFill="1" applyBorder="1" applyAlignment="1">
      <alignment horizontal="center" vertical="center" wrapText="1"/>
    </xf>
    <xf numFmtId="0" fontId="51" fillId="3" borderId="8" xfId="0" applyFont="1" applyFill="1" applyBorder="1" applyAlignment="1">
      <alignment horizontal="center" vertical="center" wrapText="1"/>
    </xf>
    <xf numFmtId="0" fontId="33" fillId="3" borderId="2"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4"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51" fillId="3" borderId="2" xfId="0" applyFont="1" applyFill="1" applyBorder="1" applyAlignment="1">
      <alignment horizontal="center" vertical="center"/>
    </xf>
    <xf numFmtId="0" fontId="51" fillId="3" borderId="3" xfId="0" applyFont="1" applyFill="1" applyBorder="1" applyAlignment="1">
      <alignment horizontal="center" vertical="center"/>
    </xf>
    <xf numFmtId="0" fontId="51" fillId="3" borderId="4" xfId="0" applyFont="1" applyFill="1" applyBorder="1" applyAlignment="1">
      <alignment horizontal="center" vertical="center"/>
    </xf>
    <xf numFmtId="0" fontId="32" fillId="3" borderId="10" xfId="0" applyFont="1" applyFill="1" applyBorder="1" applyAlignment="1">
      <alignment horizontal="center" vertical="center"/>
    </xf>
    <xf numFmtId="0" fontId="32" fillId="3" borderId="11" xfId="0" applyFont="1" applyFill="1" applyBorder="1" applyAlignment="1">
      <alignment horizontal="center" vertical="center"/>
    </xf>
    <xf numFmtId="0" fontId="32" fillId="3" borderId="12" xfId="0" applyFont="1" applyFill="1" applyBorder="1" applyAlignment="1">
      <alignment horizontal="center" vertical="center"/>
    </xf>
    <xf numFmtId="0" fontId="32" fillId="3" borderId="13" xfId="0" applyFont="1" applyFill="1" applyBorder="1" applyAlignment="1">
      <alignment horizontal="center" vertical="center"/>
    </xf>
    <xf numFmtId="0" fontId="32" fillId="3" borderId="0" xfId="0" applyFont="1" applyFill="1" applyBorder="1" applyAlignment="1">
      <alignment horizontal="center" vertical="center"/>
    </xf>
    <xf numFmtId="0" fontId="32" fillId="3" borderId="6" xfId="0" applyFont="1" applyFill="1" applyBorder="1" applyAlignment="1">
      <alignment horizontal="center" vertical="center"/>
    </xf>
    <xf numFmtId="0" fontId="32" fillId="3" borderId="14" xfId="0" applyFont="1" applyFill="1" applyBorder="1" applyAlignment="1">
      <alignment horizontal="center" vertical="center"/>
    </xf>
    <xf numFmtId="0" fontId="32" fillId="3" borderId="15" xfId="0" applyFont="1" applyFill="1" applyBorder="1" applyAlignment="1">
      <alignment horizontal="center" vertical="center"/>
    </xf>
    <xf numFmtId="0" fontId="32" fillId="3" borderId="8" xfId="0" applyFont="1" applyFill="1" applyBorder="1" applyAlignment="1">
      <alignment horizontal="center" vertical="center"/>
    </xf>
    <xf numFmtId="0" fontId="51" fillId="3" borderId="2" xfId="0" applyFont="1" applyFill="1" applyBorder="1" applyAlignment="1">
      <alignment horizontal="center" vertical="center" wrapText="1"/>
    </xf>
    <xf numFmtId="0" fontId="51" fillId="3" borderId="3" xfId="0" applyFont="1" applyFill="1" applyBorder="1" applyAlignment="1">
      <alignment horizontal="center" vertical="center" wrapText="1"/>
    </xf>
    <xf numFmtId="0" fontId="51" fillId="3" borderId="4" xfId="0" applyFont="1" applyFill="1" applyBorder="1" applyAlignment="1">
      <alignment horizontal="center" vertical="center" wrapText="1"/>
    </xf>
    <xf numFmtId="49" fontId="32" fillId="3" borderId="2" xfId="0" applyNumberFormat="1" applyFont="1" applyFill="1" applyBorder="1" applyAlignment="1">
      <alignment horizontal="center" vertical="center"/>
    </xf>
    <xf numFmtId="0" fontId="32" fillId="3" borderId="2" xfId="0" applyFont="1" applyFill="1" applyBorder="1" applyAlignment="1">
      <alignment horizontal="left" vertical="center" wrapText="1"/>
    </xf>
    <xf numFmtId="0" fontId="32" fillId="3" borderId="3"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4" borderId="2" xfId="0" applyFont="1" applyFill="1" applyBorder="1" applyAlignment="1">
      <alignment horizontal="left" vertical="center" wrapText="1"/>
    </xf>
    <xf numFmtId="0" fontId="32" fillId="4" borderId="3" xfId="0" applyFont="1" applyFill="1" applyBorder="1" applyAlignment="1">
      <alignment horizontal="left" vertical="center" wrapText="1"/>
    </xf>
    <xf numFmtId="0" fontId="32" fillId="4" borderId="4" xfId="0" applyFont="1" applyFill="1" applyBorder="1" applyAlignment="1">
      <alignment horizontal="left" vertical="center" wrapText="1"/>
    </xf>
    <xf numFmtId="0" fontId="4" fillId="2" borderId="0" xfId="0" applyFont="1" applyFill="1" applyAlignment="1">
      <alignment horizontal="center"/>
    </xf>
    <xf numFmtId="49" fontId="32" fillId="0" borderId="10" xfId="0" applyNumberFormat="1" applyFont="1" applyBorder="1" applyAlignment="1">
      <alignment horizontal="left" vertical="center" wrapText="1"/>
    </xf>
    <xf numFmtId="49" fontId="32" fillId="0" borderId="11" xfId="0" applyNumberFormat="1" applyFont="1" applyBorder="1" applyAlignment="1">
      <alignment horizontal="left" vertical="center" wrapText="1"/>
    </xf>
    <xf numFmtId="49" fontId="32" fillId="0" borderId="12" xfId="0" applyNumberFormat="1" applyFont="1" applyBorder="1" applyAlignment="1">
      <alignment horizontal="left" vertical="center" wrapText="1"/>
    </xf>
    <xf numFmtId="49" fontId="32" fillId="0" borderId="13" xfId="0" applyNumberFormat="1" applyFont="1" applyBorder="1" applyAlignment="1">
      <alignment horizontal="left" vertical="center" wrapText="1"/>
    </xf>
    <xf numFmtId="49" fontId="32" fillId="0" borderId="0" xfId="0" applyNumberFormat="1" applyFont="1" applyBorder="1" applyAlignment="1">
      <alignment horizontal="left" vertical="center" wrapText="1"/>
    </xf>
    <xf numFmtId="49" fontId="32" fillId="0" borderId="6" xfId="0" applyNumberFormat="1" applyFont="1" applyBorder="1" applyAlignment="1">
      <alignment horizontal="left" vertical="center" wrapText="1"/>
    </xf>
    <xf numFmtId="49" fontId="32" fillId="0" borderId="14" xfId="0" applyNumberFormat="1" applyFont="1" applyBorder="1" applyAlignment="1">
      <alignment horizontal="left" vertical="center" wrapText="1"/>
    </xf>
    <xf numFmtId="49" fontId="32" fillId="0" borderId="15" xfId="0" applyNumberFormat="1" applyFont="1" applyBorder="1" applyAlignment="1">
      <alignment horizontal="left" vertical="center" wrapText="1"/>
    </xf>
    <xf numFmtId="49" fontId="32" fillId="0" borderId="8" xfId="0" applyNumberFormat="1" applyFont="1" applyBorder="1" applyAlignment="1">
      <alignment horizontal="left" vertical="center" wrapText="1"/>
    </xf>
    <xf numFmtId="0" fontId="32" fillId="4" borderId="3" xfId="0" applyFont="1" applyFill="1" applyBorder="1" applyAlignment="1">
      <alignment horizontal="left" vertical="center"/>
    </xf>
    <xf numFmtId="0" fontId="32" fillId="4" borderId="4" xfId="0" applyFont="1" applyFill="1" applyBorder="1" applyAlignment="1">
      <alignment horizontal="left" vertical="center"/>
    </xf>
    <xf numFmtId="0" fontId="33" fillId="3" borderId="5" xfId="0" applyFont="1" applyFill="1" applyBorder="1" applyAlignment="1">
      <alignment horizontal="center" vertical="center" wrapText="1"/>
    </xf>
    <xf numFmtId="0" fontId="33" fillId="3" borderId="7" xfId="0" applyFont="1" applyFill="1" applyBorder="1" applyAlignment="1">
      <alignment horizontal="center" vertical="center" wrapText="1"/>
    </xf>
    <xf numFmtId="0" fontId="32" fillId="0" borderId="2" xfId="0" applyFont="1" applyFill="1" applyBorder="1" applyAlignment="1">
      <alignment horizontal="center" vertical="center" wrapText="1"/>
    </xf>
    <xf numFmtId="0" fontId="32" fillId="0" borderId="3"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3" fillId="0" borderId="0" xfId="0" applyFont="1" applyAlignment="1">
      <alignment horizontal="center"/>
    </xf>
    <xf numFmtId="0" fontId="52" fillId="2" borderId="0" xfId="0" applyFont="1" applyFill="1" applyAlignment="1">
      <alignment horizontal="center"/>
    </xf>
    <xf numFmtId="9" fontId="32" fillId="0" borderId="2" xfId="0" applyNumberFormat="1" applyFont="1" applyFill="1" applyBorder="1" applyAlignment="1">
      <alignment horizontal="center" vertical="center"/>
    </xf>
    <xf numFmtId="9" fontId="32" fillId="0" borderId="3" xfId="0" applyNumberFormat="1" applyFont="1" applyFill="1" applyBorder="1" applyAlignment="1">
      <alignment horizontal="center" vertical="center"/>
    </xf>
    <xf numFmtId="9" fontId="32" fillId="0" borderId="4" xfId="0" applyNumberFormat="1" applyFont="1" applyFill="1" applyBorder="1" applyAlignment="1">
      <alignment horizontal="center" vertical="center"/>
    </xf>
    <xf numFmtId="0" fontId="32" fillId="3" borderId="10" xfId="0" applyFont="1" applyFill="1" applyBorder="1" applyAlignment="1">
      <alignment horizontal="center" vertical="center" wrapText="1"/>
    </xf>
    <xf numFmtId="0" fontId="32" fillId="3" borderId="11" xfId="0" applyFont="1" applyFill="1" applyBorder="1" applyAlignment="1">
      <alignment horizontal="center" vertical="center" wrapText="1"/>
    </xf>
    <xf numFmtId="0" fontId="32" fillId="3" borderId="12"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6" xfId="0" applyFont="1" applyFill="1" applyBorder="1" applyAlignment="1">
      <alignment horizontal="center" vertical="center" wrapText="1"/>
    </xf>
    <xf numFmtId="0" fontId="32" fillId="3" borderId="14" xfId="0" applyFont="1" applyFill="1" applyBorder="1" applyAlignment="1">
      <alignment horizontal="center" vertical="center" wrapText="1"/>
    </xf>
    <xf numFmtId="0" fontId="32" fillId="3" borderId="15" xfId="0" applyFont="1" applyFill="1" applyBorder="1" applyAlignment="1">
      <alignment horizontal="center" vertical="center" wrapText="1"/>
    </xf>
    <xf numFmtId="0" fontId="32" fillId="3" borderId="8" xfId="0" applyFont="1" applyFill="1" applyBorder="1" applyAlignment="1">
      <alignment horizontal="center" vertical="center" wrapText="1"/>
    </xf>
    <xf numFmtId="0" fontId="50" fillId="3" borderId="2" xfId="0" applyFont="1" applyFill="1" applyBorder="1" applyAlignment="1">
      <alignment horizontal="center" vertical="center" wrapText="1"/>
    </xf>
    <xf numFmtId="0" fontId="50" fillId="3" borderId="3" xfId="0" applyFont="1" applyFill="1" applyBorder="1" applyAlignment="1">
      <alignment horizontal="center" vertical="center" wrapText="1"/>
    </xf>
    <xf numFmtId="0" fontId="50" fillId="3" borderId="4" xfId="0" applyFont="1" applyFill="1" applyBorder="1" applyAlignment="1">
      <alignment horizontal="center" vertical="center" wrapText="1"/>
    </xf>
    <xf numFmtId="0" fontId="32" fillId="11" borderId="2" xfId="0" applyFont="1" applyFill="1" applyBorder="1" applyAlignment="1">
      <alignment horizontal="center" vertical="center"/>
    </xf>
    <xf numFmtId="0" fontId="32" fillId="11" borderId="3" xfId="0" applyFont="1" applyFill="1" applyBorder="1" applyAlignment="1">
      <alignment horizontal="center" vertical="center"/>
    </xf>
    <xf numFmtId="0" fontId="32" fillId="11" borderId="4" xfId="0" applyFont="1" applyFill="1" applyBorder="1" applyAlignment="1">
      <alignment horizontal="center" vertical="center"/>
    </xf>
    <xf numFmtId="9" fontId="32" fillId="3" borderId="2" xfId="0" applyNumberFormat="1" applyFont="1" applyFill="1" applyBorder="1" applyAlignment="1">
      <alignment horizontal="center" vertical="center"/>
    </xf>
    <xf numFmtId="9" fontId="32" fillId="3" borderId="3" xfId="0" applyNumberFormat="1" applyFont="1" applyFill="1" applyBorder="1" applyAlignment="1">
      <alignment horizontal="center" vertical="center"/>
    </xf>
    <xf numFmtId="9" fontId="32" fillId="3" borderId="4" xfId="0" applyNumberFormat="1" applyFont="1" applyFill="1" applyBorder="1" applyAlignment="1">
      <alignment horizontal="center" vertical="center"/>
    </xf>
    <xf numFmtId="0" fontId="32" fillId="7" borderId="2" xfId="0" applyFont="1" applyFill="1" applyBorder="1" applyAlignment="1">
      <alignment horizontal="center" vertical="center"/>
    </xf>
    <xf numFmtId="0" fontId="32" fillId="7" borderId="3" xfId="0" applyFont="1" applyFill="1" applyBorder="1" applyAlignment="1">
      <alignment horizontal="center" vertical="center"/>
    </xf>
    <xf numFmtId="0" fontId="32" fillId="7" borderId="4" xfId="0" applyFont="1" applyFill="1" applyBorder="1" applyAlignment="1">
      <alignment horizontal="center" vertical="center"/>
    </xf>
    <xf numFmtId="0" fontId="50" fillId="4" borderId="2" xfId="0" applyFont="1" applyFill="1" applyBorder="1" applyAlignment="1">
      <alignment horizontal="center" vertical="center"/>
    </xf>
    <xf numFmtId="0" fontId="50" fillId="4" borderId="3" xfId="0" applyFont="1" applyFill="1" applyBorder="1" applyAlignment="1">
      <alignment horizontal="center" vertical="center"/>
    </xf>
    <xf numFmtId="0" fontId="50" fillId="4" borderId="4" xfId="0" applyFont="1" applyFill="1" applyBorder="1" applyAlignment="1">
      <alignment horizontal="center" vertical="center"/>
    </xf>
    <xf numFmtId="0" fontId="50" fillId="3" borderId="2" xfId="0" applyFont="1" applyFill="1" applyBorder="1" applyAlignment="1">
      <alignment horizontal="center" vertical="center"/>
    </xf>
    <xf numFmtId="0" fontId="50" fillId="3" borderId="3" xfId="0" applyFont="1" applyFill="1" applyBorder="1" applyAlignment="1">
      <alignment horizontal="center" vertical="center"/>
    </xf>
    <xf numFmtId="0" fontId="50" fillId="3" borderId="4" xfId="0" applyFont="1" applyFill="1" applyBorder="1" applyAlignment="1">
      <alignment horizontal="center" vertical="center"/>
    </xf>
    <xf numFmtId="0" fontId="32" fillId="0" borderId="10"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0"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8" xfId="0" applyFont="1" applyBorder="1" applyAlignment="1">
      <alignment horizontal="center" vertical="center" wrapText="1"/>
    </xf>
    <xf numFmtId="0" fontId="27" fillId="3" borderId="5"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7" fillId="0" borderId="3"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3"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5" fillId="4" borderId="2" xfId="0" applyFont="1" applyFill="1" applyBorder="1" applyAlignment="1">
      <alignment horizontal="center" vertical="center" wrapText="1"/>
    </xf>
    <xf numFmtId="0" fontId="25" fillId="4" borderId="3" xfId="0" applyFont="1" applyFill="1" applyBorder="1" applyAlignment="1">
      <alignment horizontal="center" vertical="center" wrapText="1"/>
    </xf>
    <xf numFmtId="0" fontId="25" fillId="4" borderId="4" xfId="0" applyFont="1" applyFill="1" applyBorder="1" applyAlignment="1">
      <alignment horizontal="center" vertical="center" wrapText="1"/>
    </xf>
    <xf numFmtId="0" fontId="25" fillId="4" borderId="2" xfId="0" applyFont="1" applyFill="1" applyBorder="1" applyAlignment="1">
      <alignment horizontal="center" vertical="center"/>
    </xf>
    <xf numFmtId="0" fontId="25" fillId="4" borderId="3" xfId="0" applyFont="1" applyFill="1" applyBorder="1" applyAlignment="1">
      <alignment horizontal="center" vertical="center"/>
    </xf>
    <xf numFmtId="0" fontId="25" fillId="4" borderId="4" xfId="0" applyFont="1" applyFill="1" applyBorder="1" applyAlignment="1">
      <alignment horizontal="center" vertical="center"/>
    </xf>
    <xf numFmtId="0" fontId="27" fillId="4" borderId="2" xfId="0" applyFont="1" applyFill="1" applyBorder="1" applyAlignment="1">
      <alignment horizontal="center" vertical="center"/>
    </xf>
    <xf numFmtId="0" fontId="27" fillId="4" borderId="3" xfId="0" applyFont="1" applyFill="1" applyBorder="1" applyAlignment="1">
      <alignment horizontal="center" vertical="center"/>
    </xf>
    <xf numFmtId="0" fontId="27" fillId="4" borderId="4" xfId="0" applyFont="1" applyFill="1" applyBorder="1" applyAlignment="1">
      <alignment horizontal="center" vertical="center"/>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25" fillId="4" borderId="14" xfId="0" applyFont="1" applyFill="1" applyBorder="1" applyAlignment="1">
      <alignment horizontal="center" vertical="center"/>
    </xf>
    <xf numFmtId="0" fontId="25" fillId="4" borderId="15" xfId="0" applyFont="1" applyFill="1" applyBorder="1" applyAlignment="1">
      <alignment horizontal="center" vertical="center"/>
    </xf>
    <xf numFmtId="0" fontId="25" fillId="4" borderId="8" xfId="0" applyFont="1" applyFill="1" applyBorder="1" applyAlignment="1">
      <alignment horizontal="center" vertical="center"/>
    </xf>
    <xf numFmtId="9" fontId="27" fillId="4" borderId="2" xfId="0" applyNumberFormat="1" applyFont="1" applyFill="1" applyBorder="1" applyAlignment="1">
      <alignment horizontal="center" vertical="center"/>
    </xf>
    <xf numFmtId="9" fontId="27" fillId="4" borderId="3" xfId="0" applyNumberFormat="1" applyFont="1" applyFill="1" applyBorder="1" applyAlignment="1">
      <alignment horizontal="center" vertical="center"/>
    </xf>
    <xf numFmtId="9" fontId="27" fillId="4" borderId="4" xfId="0" applyNumberFormat="1" applyFont="1" applyFill="1" applyBorder="1" applyAlignment="1">
      <alignment horizontal="center" vertical="center"/>
    </xf>
    <xf numFmtId="0" fontId="32" fillId="3" borderId="5" xfId="0" applyFont="1" applyFill="1" applyBorder="1" applyAlignment="1">
      <alignment vertical="top" wrapText="1"/>
    </xf>
    <xf numFmtId="0" fontId="32" fillId="3" borderId="9" xfId="0" applyFont="1" applyFill="1" applyBorder="1" applyAlignment="1">
      <alignment vertical="top" wrapText="1"/>
    </xf>
    <xf numFmtId="0" fontId="32" fillId="3" borderId="38" xfId="0" applyFont="1" applyFill="1" applyBorder="1" applyAlignment="1">
      <alignment vertical="top"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41" xfId="0" applyFont="1" applyFill="1" applyBorder="1" applyAlignment="1">
      <alignment horizontal="center" vertical="center"/>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0" borderId="12"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15" xfId="0" applyFont="1" applyBorder="1" applyAlignment="1">
      <alignment horizontal="center" vertical="center" wrapText="1"/>
    </xf>
    <xf numFmtId="0" fontId="27" fillId="0" borderId="8" xfId="0" applyFont="1" applyBorder="1" applyAlignment="1">
      <alignment horizontal="center" vertical="center" wrapText="1"/>
    </xf>
    <xf numFmtId="0" fontId="35" fillId="0" borderId="0" xfId="0" applyFont="1" applyAlignment="1">
      <alignment horizontal="center"/>
    </xf>
    <xf numFmtId="0" fontId="27" fillId="3" borderId="1" xfId="0" applyFont="1" applyFill="1" applyBorder="1" applyAlignment="1">
      <alignment horizontal="center" vertical="center"/>
    </xf>
    <xf numFmtId="49" fontId="27" fillId="3" borderId="2" xfId="0" applyNumberFormat="1" applyFont="1" applyFill="1" applyBorder="1" applyAlignment="1">
      <alignment horizontal="center" vertical="center"/>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0" fontId="25" fillId="0" borderId="2" xfId="0" applyFont="1" applyBorder="1" applyAlignment="1">
      <alignment horizontal="center"/>
    </xf>
    <xf numFmtId="0" fontId="25" fillId="0" borderId="3" xfId="0" applyFont="1" applyBorder="1" applyAlignment="1">
      <alignment horizontal="center"/>
    </xf>
    <xf numFmtId="0" fontId="25" fillId="0" borderId="4" xfId="0" applyFont="1" applyBorder="1" applyAlignment="1">
      <alignment horizontal="center"/>
    </xf>
    <xf numFmtId="0" fontId="66" fillId="3" borderId="2" xfId="0" applyFont="1" applyFill="1" applyBorder="1" applyAlignment="1">
      <alignment horizontal="left" vertical="center" wrapText="1"/>
    </xf>
    <xf numFmtId="0" fontId="66" fillId="3" borderId="3" xfId="0" applyFont="1" applyFill="1" applyBorder="1" applyAlignment="1">
      <alignment horizontal="left" vertical="center" wrapText="1"/>
    </xf>
    <xf numFmtId="0" fontId="66" fillId="3" borderId="4" xfId="0" applyFont="1" applyFill="1" applyBorder="1" applyAlignment="1">
      <alignment horizontal="left" vertical="center" wrapText="1"/>
    </xf>
    <xf numFmtId="0" fontId="66" fillId="3" borderId="2" xfId="0" applyFont="1" applyFill="1" applyBorder="1" applyAlignment="1">
      <alignment horizontal="center" vertical="center"/>
    </xf>
    <xf numFmtId="0" fontId="66" fillId="3" borderId="3" xfId="0" applyFont="1" applyFill="1" applyBorder="1" applyAlignment="1">
      <alignment horizontal="center" vertical="center"/>
    </xf>
    <xf numFmtId="0" fontId="66" fillId="3" borderId="4" xfId="0" applyFont="1" applyFill="1" applyBorder="1" applyAlignment="1">
      <alignment horizontal="center" vertical="center"/>
    </xf>
    <xf numFmtId="0" fontId="68" fillId="4" borderId="2" xfId="0" applyFont="1" applyFill="1" applyBorder="1" applyAlignment="1">
      <alignment horizontal="center" vertical="center"/>
    </xf>
    <xf numFmtId="0" fontId="68" fillId="4" borderId="3" xfId="0" applyFont="1" applyFill="1" applyBorder="1" applyAlignment="1">
      <alignment horizontal="center" vertical="center"/>
    </xf>
    <xf numFmtId="0" fontId="68" fillId="4" borderId="4" xfId="0" applyFont="1" applyFill="1" applyBorder="1" applyAlignment="1">
      <alignment horizontal="center" vertical="center"/>
    </xf>
    <xf numFmtId="0" fontId="68" fillId="3" borderId="2" xfId="0" applyFont="1" applyFill="1" applyBorder="1" applyAlignment="1">
      <alignment horizontal="center" vertical="center"/>
    </xf>
    <xf numFmtId="0" fontId="68" fillId="3" borderId="3" xfId="0" applyFont="1" applyFill="1" applyBorder="1" applyAlignment="1">
      <alignment horizontal="center" vertical="center"/>
    </xf>
    <xf numFmtId="0" fontId="68" fillId="3" borderId="4" xfId="0" applyFont="1" applyFill="1" applyBorder="1" applyAlignment="1">
      <alignment horizontal="center" vertical="center"/>
    </xf>
    <xf numFmtId="0" fontId="67" fillId="3" borderId="2" xfId="0" applyFont="1" applyFill="1" applyBorder="1" applyAlignment="1">
      <alignment horizontal="left" vertical="top" wrapText="1"/>
    </xf>
    <xf numFmtId="0" fontId="67" fillId="3" borderId="3" xfId="0" applyFont="1" applyFill="1" applyBorder="1" applyAlignment="1">
      <alignment horizontal="left" vertical="top" wrapText="1"/>
    </xf>
    <xf numFmtId="0" fontId="67" fillId="3" borderId="4" xfId="0" applyFont="1" applyFill="1" applyBorder="1" applyAlignment="1">
      <alignment horizontal="left" vertical="top" wrapText="1"/>
    </xf>
    <xf numFmtId="0" fontId="67" fillId="4" borderId="2" xfId="0" applyFont="1" applyFill="1" applyBorder="1" applyAlignment="1">
      <alignment horizontal="center" vertical="center"/>
    </xf>
    <xf numFmtId="0" fontId="67" fillId="4" borderId="3" xfId="0" applyFont="1" applyFill="1" applyBorder="1" applyAlignment="1">
      <alignment horizontal="center" vertical="center"/>
    </xf>
    <xf numFmtId="0" fontId="67" fillId="4" borderId="4" xfId="0" applyFont="1" applyFill="1" applyBorder="1" applyAlignment="1">
      <alignment horizontal="center" vertical="center"/>
    </xf>
    <xf numFmtId="0" fontId="67" fillId="3" borderId="2" xfId="0" applyFont="1" applyFill="1" applyBorder="1" applyAlignment="1">
      <alignment horizontal="center" vertical="center" wrapText="1"/>
    </xf>
    <xf numFmtId="0" fontId="67" fillId="3" borderId="3" xfId="0" applyFont="1" applyFill="1" applyBorder="1" applyAlignment="1">
      <alignment horizontal="center" vertical="center" wrapText="1"/>
    </xf>
    <xf numFmtId="0" fontId="67" fillId="3" borderId="4" xfId="0" applyFont="1" applyFill="1" applyBorder="1" applyAlignment="1">
      <alignment horizontal="center" vertical="center" wrapText="1"/>
    </xf>
    <xf numFmtId="0" fontId="67" fillId="3" borderId="2" xfId="0" applyFont="1" applyFill="1" applyBorder="1" applyAlignment="1">
      <alignment horizontal="left" vertical="center" wrapText="1"/>
    </xf>
    <xf numFmtId="0" fontId="67" fillId="3" borderId="3" xfId="0" applyFont="1" applyFill="1" applyBorder="1" applyAlignment="1">
      <alignment horizontal="left" vertical="center" wrapText="1"/>
    </xf>
    <xf numFmtId="0" fontId="67" fillId="3" borderId="4" xfId="0" applyFont="1" applyFill="1" applyBorder="1" applyAlignment="1">
      <alignment horizontal="left" vertical="center" wrapText="1"/>
    </xf>
    <xf numFmtId="0" fontId="67" fillId="4" borderId="2" xfId="0" applyFont="1" applyFill="1" applyBorder="1" applyAlignment="1">
      <alignment horizontal="left" vertical="top"/>
    </xf>
    <xf numFmtId="0" fontId="67" fillId="4" borderId="3" xfId="0" applyFont="1" applyFill="1" applyBorder="1" applyAlignment="1">
      <alignment horizontal="left" vertical="top"/>
    </xf>
    <xf numFmtId="0" fontId="67" fillId="4" borderId="4" xfId="0" applyFont="1" applyFill="1" applyBorder="1" applyAlignment="1">
      <alignment horizontal="left" vertical="top"/>
    </xf>
    <xf numFmtId="0" fontId="32" fillId="3" borderId="3" xfId="0" applyFont="1" applyFill="1" applyBorder="1" applyAlignment="1">
      <alignment horizontal="left" vertical="top" wrapText="1"/>
    </xf>
    <xf numFmtId="0" fontId="32" fillId="3" borderId="4" xfId="0" applyFont="1" applyFill="1" applyBorder="1" applyAlignment="1">
      <alignment horizontal="left" vertical="top" wrapText="1"/>
    </xf>
    <xf numFmtId="0" fontId="67" fillId="4" borderId="2" xfId="0" applyFont="1" applyFill="1" applyBorder="1" applyAlignment="1">
      <alignment horizontal="center" vertical="center" wrapText="1"/>
    </xf>
    <xf numFmtId="0" fontId="67" fillId="4" borderId="3" xfId="0" applyFont="1" applyFill="1" applyBorder="1" applyAlignment="1">
      <alignment horizontal="center" vertical="center" wrapText="1"/>
    </xf>
    <xf numFmtId="0" fontId="67" fillId="4" borderId="4" xfId="0" applyFont="1" applyFill="1" applyBorder="1" applyAlignment="1">
      <alignment horizontal="center" vertical="center" wrapText="1"/>
    </xf>
    <xf numFmtId="0" fontId="32" fillId="3" borderId="2" xfId="0" applyFont="1" applyFill="1" applyBorder="1" applyAlignment="1">
      <alignment horizontal="left" vertical="top" wrapText="1"/>
    </xf>
    <xf numFmtId="0" fontId="32" fillId="4" borderId="2" xfId="0" applyFont="1" applyFill="1" applyBorder="1" applyAlignment="1">
      <alignment horizontal="left" vertical="top" wrapText="1"/>
    </xf>
    <xf numFmtId="0" fontId="32" fillId="4" borderId="3" xfId="0" applyFont="1" applyFill="1" applyBorder="1" applyAlignment="1">
      <alignment horizontal="left" vertical="top"/>
    </xf>
    <xf numFmtId="0" fontId="32" fillId="4" borderId="4" xfId="0" applyFont="1" applyFill="1" applyBorder="1" applyAlignment="1">
      <alignment horizontal="left" vertical="top"/>
    </xf>
    <xf numFmtId="0" fontId="33" fillId="0" borderId="2"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5" xfId="0" applyFont="1" applyFill="1" applyBorder="1" applyAlignment="1">
      <alignment vertical="center" wrapText="1"/>
    </xf>
    <xf numFmtId="0" fontId="32" fillId="0" borderId="9" xfId="0" applyFont="1" applyFill="1" applyBorder="1" applyAlignment="1">
      <alignment vertical="center" wrapText="1"/>
    </xf>
    <xf numFmtId="0" fontId="32" fillId="0" borderId="7" xfId="0" applyFont="1" applyFill="1" applyBorder="1" applyAlignment="1">
      <alignment vertical="center" wrapText="1"/>
    </xf>
    <xf numFmtId="0" fontId="32" fillId="0" borderId="10" xfId="0" applyFont="1" applyFill="1" applyBorder="1" applyAlignment="1">
      <alignment horizontal="center" vertical="center"/>
    </xf>
    <xf numFmtId="0" fontId="32" fillId="0" borderId="11" xfId="0" applyFont="1" applyFill="1" applyBorder="1" applyAlignment="1">
      <alignment horizontal="center" vertical="center"/>
    </xf>
    <xf numFmtId="0" fontId="32" fillId="0" borderId="12" xfId="0" applyFont="1" applyFill="1" applyBorder="1" applyAlignment="1">
      <alignment horizontal="center" vertical="center"/>
    </xf>
    <xf numFmtId="0" fontId="32" fillId="0" borderId="13" xfId="0" applyFont="1" applyFill="1" applyBorder="1" applyAlignment="1">
      <alignment horizontal="center" vertical="center"/>
    </xf>
    <xf numFmtId="0" fontId="32" fillId="0" borderId="0"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14" xfId="0" applyFont="1" applyFill="1" applyBorder="1" applyAlignment="1">
      <alignment horizontal="center" vertical="center"/>
    </xf>
    <xf numFmtId="0" fontId="32" fillId="0" borderId="15" xfId="0" applyFont="1" applyFill="1" applyBorder="1" applyAlignment="1">
      <alignment horizontal="center" vertical="center"/>
    </xf>
    <xf numFmtId="0" fontId="32" fillId="0" borderId="8" xfId="0" applyFont="1" applyFill="1" applyBorder="1" applyAlignment="1">
      <alignment horizontal="center" vertical="center"/>
    </xf>
    <xf numFmtId="0" fontId="32" fillId="0" borderId="5" xfId="0" applyFont="1" applyBorder="1" applyAlignment="1">
      <alignment vertical="center" wrapText="1"/>
    </xf>
    <xf numFmtId="0" fontId="32" fillId="0" borderId="9" xfId="0" applyFont="1" applyBorder="1" applyAlignment="1">
      <alignment vertical="center" wrapText="1"/>
    </xf>
    <xf numFmtId="0" fontId="32" fillId="0" borderId="7" xfId="0" applyFont="1" applyBorder="1" applyAlignment="1">
      <alignment vertical="center" wrapText="1"/>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32" fillId="0" borderId="0" xfId="0" applyFont="1" applyBorder="1" applyAlignment="1">
      <alignment horizontal="center" vertical="center"/>
    </xf>
    <xf numFmtId="0" fontId="32" fillId="0" borderId="6" xfId="0" applyFont="1" applyBorder="1" applyAlignment="1">
      <alignment horizontal="center" vertical="center"/>
    </xf>
    <xf numFmtId="0" fontId="32" fillId="0" borderId="15" xfId="0" applyFont="1" applyBorder="1" applyAlignment="1">
      <alignment horizontal="center" vertical="center"/>
    </xf>
    <xf numFmtId="0" fontId="32" fillId="0" borderId="8" xfId="0" applyFont="1" applyBorder="1" applyAlignment="1">
      <alignment horizontal="center" vertical="center"/>
    </xf>
    <xf numFmtId="0" fontId="33" fillId="0" borderId="2" xfId="0" applyFont="1" applyFill="1" applyBorder="1" applyAlignment="1">
      <alignment horizontal="center" vertical="center"/>
    </xf>
    <xf numFmtId="0" fontId="33" fillId="0" borderId="3" xfId="0" applyFont="1" applyFill="1" applyBorder="1" applyAlignment="1">
      <alignment horizontal="center" vertical="center"/>
    </xf>
    <xf numFmtId="0" fontId="33" fillId="0" borderId="4" xfId="0" applyFont="1" applyFill="1" applyBorder="1" applyAlignment="1">
      <alignment horizontal="center" vertical="center"/>
    </xf>
    <xf numFmtId="49" fontId="32" fillId="0" borderId="2" xfId="0" applyNumberFormat="1" applyFont="1" applyFill="1" applyBorder="1" applyAlignment="1">
      <alignment horizontal="center" vertical="center" wrapText="1"/>
    </xf>
    <xf numFmtId="49" fontId="32" fillId="0" borderId="3" xfId="0" applyNumberFormat="1" applyFont="1" applyFill="1" applyBorder="1" applyAlignment="1">
      <alignment horizontal="center" vertical="center" wrapText="1"/>
    </xf>
    <xf numFmtId="49" fontId="32" fillId="0" borderId="4" xfId="0" applyNumberFormat="1" applyFont="1" applyFill="1" applyBorder="1" applyAlignment="1">
      <alignment horizontal="center" vertical="center" wrapText="1"/>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4" xfId="0" applyFont="1" applyFill="1" applyBorder="1" applyAlignment="1">
      <alignment horizontal="center" vertical="center"/>
    </xf>
    <xf numFmtId="49" fontId="32" fillId="4" borderId="2" xfId="0" applyNumberFormat="1" applyFont="1" applyFill="1" applyBorder="1" applyAlignment="1">
      <alignment horizontal="center" vertical="center" wrapText="1"/>
    </xf>
    <xf numFmtId="49" fontId="32" fillId="4" borderId="3" xfId="0" applyNumberFormat="1" applyFont="1" applyFill="1" applyBorder="1" applyAlignment="1">
      <alignment horizontal="center" vertical="center" wrapText="1"/>
    </xf>
    <xf numFmtId="49" fontId="32" fillId="4" borderId="4" xfId="0" applyNumberFormat="1" applyFont="1" applyFill="1" applyBorder="1" applyAlignment="1">
      <alignment horizontal="center" vertical="center" wrapText="1"/>
    </xf>
    <xf numFmtId="49" fontId="33" fillId="4" borderId="10" xfId="0" applyNumberFormat="1" applyFont="1" applyFill="1" applyBorder="1" applyAlignment="1">
      <alignment horizontal="center" vertical="center" wrapText="1"/>
    </xf>
    <xf numFmtId="49" fontId="33" fillId="4" borderId="11" xfId="0" applyNumberFormat="1" applyFont="1" applyFill="1" applyBorder="1" applyAlignment="1">
      <alignment horizontal="center" vertical="center" wrapText="1"/>
    </xf>
    <xf numFmtId="49" fontId="33" fillId="4" borderId="12" xfId="0" applyNumberFormat="1" applyFont="1" applyFill="1" applyBorder="1" applyAlignment="1">
      <alignment horizontal="center" vertical="center" wrapText="1"/>
    </xf>
    <xf numFmtId="49" fontId="32" fillId="3" borderId="37" xfId="0" applyNumberFormat="1" applyFont="1" applyFill="1" applyBorder="1" applyAlignment="1">
      <alignment horizontal="center" vertical="center" wrapText="1"/>
    </xf>
    <xf numFmtId="49" fontId="32" fillId="3" borderId="51" xfId="0" applyNumberFormat="1" applyFont="1" applyFill="1" applyBorder="1" applyAlignment="1">
      <alignment horizontal="center" vertical="center" wrapText="1"/>
    </xf>
    <xf numFmtId="49" fontId="32" fillId="3" borderId="52" xfId="0" applyNumberFormat="1" applyFont="1" applyFill="1" applyBorder="1" applyAlignment="1">
      <alignment horizontal="center" vertical="center" wrapText="1"/>
    </xf>
    <xf numFmtId="49" fontId="32" fillId="3" borderId="53" xfId="0" applyNumberFormat="1" applyFont="1" applyFill="1" applyBorder="1" applyAlignment="1">
      <alignment horizontal="center" vertical="center" wrapText="1"/>
    </xf>
    <xf numFmtId="49" fontId="32" fillId="3" borderId="45" xfId="0" applyNumberFormat="1" applyFont="1" applyFill="1" applyBorder="1" applyAlignment="1">
      <alignment horizontal="center" vertical="center" wrapText="1"/>
    </xf>
    <xf numFmtId="49" fontId="32" fillId="3" borderId="54" xfId="0" applyNumberFormat="1" applyFont="1" applyFill="1" applyBorder="1" applyAlignment="1">
      <alignment horizontal="center" vertical="center" wrapText="1"/>
    </xf>
    <xf numFmtId="49" fontId="33" fillId="3" borderId="2" xfId="0" applyNumberFormat="1" applyFont="1" applyFill="1" applyBorder="1" applyAlignment="1">
      <alignment horizontal="center" vertical="center" wrapText="1"/>
    </xf>
    <xf numFmtId="49" fontId="33" fillId="3" borderId="3" xfId="0" applyNumberFormat="1" applyFont="1" applyFill="1" applyBorder="1" applyAlignment="1">
      <alignment horizontal="center" vertical="center" wrapText="1"/>
    </xf>
    <xf numFmtId="49" fontId="33" fillId="3" borderId="4" xfId="0" applyNumberFormat="1" applyFont="1" applyFill="1" applyBorder="1" applyAlignment="1">
      <alignment horizontal="center" vertical="center" wrapText="1"/>
    </xf>
    <xf numFmtId="0" fontId="59" fillId="3" borderId="2" xfId="0" applyFont="1" applyFill="1" applyBorder="1" applyAlignment="1">
      <alignment horizontal="center" vertical="center"/>
    </xf>
    <xf numFmtId="0" fontId="59" fillId="3" borderId="3" xfId="0" applyFont="1" applyFill="1" applyBorder="1" applyAlignment="1">
      <alignment horizontal="center" vertical="center"/>
    </xf>
    <xf numFmtId="0" fontId="59" fillId="3" borderId="4" xfId="0" applyFont="1" applyFill="1" applyBorder="1" applyAlignment="1">
      <alignment horizontal="center" vertical="center"/>
    </xf>
    <xf numFmtId="49" fontId="32" fillId="4" borderId="14" xfId="0" applyNumberFormat="1" applyFont="1" applyFill="1" applyBorder="1" applyAlignment="1">
      <alignment horizontal="center" vertical="center" wrapText="1"/>
    </xf>
    <xf numFmtId="49" fontId="32" fillId="4" borderId="15" xfId="0" applyNumberFormat="1" applyFont="1" applyFill="1" applyBorder="1" applyAlignment="1">
      <alignment horizontal="center" vertical="center" wrapText="1"/>
    </xf>
    <xf numFmtId="49" fontId="32" fillId="4" borderId="8" xfId="0" applyNumberFormat="1" applyFont="1" applyFill="1" applyBorder="1" applyAlignment="1">
      <alignment horizontal="center" vertical="center" wrapText="1"/>
    </xf>
    <xf numFmtId="0" fontId="16" fillId="0" borderId="2" xfId="0" applyFont="1" applyFill="1" applyBorder="1" applyAlignment="1">
      <alignment horizontal="center"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32" fillId="0" borderId="44" xfId="0" applyFont="1" applyBorder="1" applyAlignment="1">
      <alignment horizontal="center" vertical="center" wrapText="1"/>
    </xf>
    <xf numFmtId="0" fontId="32" fillId="0" borderId="45"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33" xfId="0" applyFont="1" applyBorder="1" applyAlignment="1">
      <alignment horizontal="center" vertical="center" wrapText="1"/>
    </xf>
    <xf numFmtId="0" fontId="32" fillId="0" borderId="32"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horizontal="center" vertical="center" wrapText="1"/>
    </xf>
    <xf numFmtId="0" fontId="32" fillId="0" borderId="49" xfId="0" applyFont="1" applyBorder="1" applyAlignment="1">
      <alignment horizontal="center" vertical="center" wrapText="1"/>
    </xf>
    <xf numFmtId="0" fontId="33" fillId="0" borderId="10" xfId="0" applyFont="1" applyBorder="1" applyAlignment="1">
      <alignment horizontal="center"/>
    </xf>
    <xf numFmtId="0" fontId="33" fillId="0" borderId="11" xfId="0" applyFont="1" applyBorder="1" applyAlignment="1">
      <alignment horizontal="center"/>
    </xf>
    <xf numFmtId="0" fontId="33" fillId="0" borderId="12" xfId="0" applyFont="1" applyBorder="1" applyAlignment="1">
      <alignment horizontal="center"/>
    </xf>
    <xf numFmtId="49" fontId="32" fillId="3" borderId="14" xfId="0" applyNumberFormat="1" applyFont="1" applyFill="1" applyBorder="1" applyAlignment="1">
      <alignment horizontal="center" vertical="center"/>
    </xf>
    <xf numFmtId="49" fontId="32" fillId="3" borderId="15" xfId="0" applyNumberFormat="1" applyFont="1" applyFill="1" applyBorder="1" applyAlignment="1">
      <alignment horizontal="center" vertical="center"/>
    </xf>
    <xf numFmtId="49" fontId="32" fillId="3" borderId="8" xfId="0" applyNumberFormat="1" applyFont="1" applyFill="1" applyBorder="1" applyAlignment="1">
      <alignment horizontal="center" vertical="center"/>
    </xf>
    <xf numFmtId="0" fontId="32" fillId="0" borderId="2" xfId="0" applyFont="1" applyFill="1" applyBorder="1" applyAlignment="1">
      <alignment horizontal="left" vertical="center" wrapText="1"/>
    </xf>
    <xf numFmtId="0" fontId="32" fillId="0" borderId="3" xfId="0" applyFont="1" applyFill="1" applyBorder="1" applyAlignment="1">
      <alignment horizontal="left" vertical="center" wrapText="1"/>
    </xf>
    <xf numFmtId="0" fontId="32" fillId="0" borderId="4" xfId="0" applyFont="1" applyFill="1" applyBorder="1" applyAlignment="1">
      <alignment horizontal="left" vertical="center" wrapText="1"/>
    </xf>
    <xf numFmtId="0" fontId="32" fillId="3" borderId="10" xfId="0" applyFont="1" applyFill="1" applyBorder="1" applyAlignment="1">
      <alignment horizontal="left" vertical="center" wrapText="1"/>
    </xf>
    <xf numFmtId="0" fontId="32" fillId="3" borderId="11" xfId="0" applyFont="1" applyFill="1" applyBorder="1" applyAlignment="1">
      <alignment horizontal="left" vertical="center" wrapText="1"/>
    </xf>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applyAlignment="1">
      <alignment horizontal="left" vertical="center" wrapText="1"/>
    </xf>
    <xf numFmtId="0" fontId="32" fillId="3" borderId="6" xfId="0" applyFont="1" applyFill="1" applyBorder="1" applyAlignment="1">
      <alignment horizontal="left" vertical="center" wrapText="1"/>
    </xf>
    <xf numFmtId="0" fontId="32" fillId="3" borderId="14" xfId="0" applyFont="1" applyFill="1" applyBorder="1" applyAlignment="1">
      <alignment horizontal="left" vertical="center" wrapText="1"/>
    </xf>
    <xf numFmtId="0" fontId="32" fillId="3" borderId="15" xfId="0" applyFont="1" applyFill="1" applyBorder="1" applyAlignment="1">
      <alignment horizontal="left" vertical="center" wrapText="1"/>
    </xf>
    <xf numFmtId="0" fontId="32" fillId="3" borderId="8" xfId="0" applyFont="1" applyFill="1" applyBorder="1" applyAlignment="1">
      <alignment horizontal="left" vertical="center" wrapText="1"/>
    </xf>
    <xf numFmtId="0" fontId="54" fillId="3" borderId="2" xfId="0" applyFont="1" applyFill="1" applyBorder="1" applyAlignment="1">
      <alignment horizontal="center" vertical="center" wrapText="1"/>
    </xf>
    <xf numFmtId="0" fontId="54" fillId="3" borderId="3" xfId="0" applyFont="1" applyFill="1" applyBorder="1" applyAlignment="1">
      <alignment horizontal="center" vertical="center" wrapText="1"/>
    </xf>
    <xf numFmtId="0" fontId="54" fillId="3" borderId="4" xfId="0" applyFont="1" applyFill="1" applyBorder="1" applyAlignment="1">
      <alignment horizontal="center" vertical="center" wrapText="1"/>
    </xf>
    <xf numFmtId="0" fontId="50" fillId="0" borderId="2"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51" fillId="3" borderId="5" xfId="0" applyFont="1" applyFill="1" applyBorder="1" applyAlignment="1">
      <alignment horizontal="center" vertical="center" wrapText="1"/>
    </xf>
    <xf numFmtId="0" fontId="51" fillId="3" borderId="7" xfId="0" applyFont="1" applyFill="1" applyBorder="1" applyAlignment="1">
      <alignment horizontal="center" vertical="center" wrapText="1"/>
    </xf>
    <xf numFmtId="9" fontId="32" fillId="3" borderId="0" xfId="0" applyNumberFormat="1" applyFont="1" applyFill="1" applyBorder="1" applyAlignment="1">
      <alignment horizontal="left" vertical="center"/>
    </xf>
    <xf numFmtId="49" fontId="32" fillId="4" borderId="2" xfId="0" applyNumberFormat="1" applyFont="1" applyFill="1" applyBorder="1" applyAlignment="1">
      <alignment horizontal="center" vertical="center"/>
    </xf>
    <xf numFmtId="49" fontId="32" fillId="4" borderId="3" xfId="0" applyNumberFormat="1" applyFont="1" applyFill="1" applyBorder="1" applyAlignment="1">
      <alignment horizontal="center" vertical="center"/>
    </xf>
    <xf numFmtId="49" fontId="32" fillId="4" borderId="4" xfId="0" applyNumberFormat="1" applyFont="1" applyFill="1" applyBorder="1" applyAlignment="1">
      <alignment horizontal="center" vertical="center"/>
    </xf>
    <xf numFmtId="3" fontId="32" fillId="4" borderId="2" xfId="0" applyNumberFormat="1" applyFont="1" applyFill="1" applyBorder="1" applyAlignment="1">
      <alignment horizontal="center" vertical="center"/>
    </xf>
    <xf numFmtId="3" fontId="32" fillId="4" borderId="3" xfId="0" applyNumberFormat="1" applyFont="1" applyFill="1" applyBorder="1" applyAlignment="1">
      <alignment horizontal="center" vertical="center"/>
    </xf>
    <xf numFmtId="3" fontId="32" fillId="4" borderId="4" xfId="0" applyNumberFormat="1" applyFont="1" applyFill="1" applyBorder="1" applyAlignment="1">
      <alignment horizontal="center" vertical="center"/>
    </xf>
    <xf numFmtId="0" fontId="32" fillId="3" borderId="80" xfId="0" applyFont="1" applyFill="1" applyBorder="1" applyAlignment="1">
      <alignment vertical="center" wrapText="1"/>
    </xf>
    <xf numFmtId="0" fontId="32" fillId="3" borderId="81" xfId="0" applyFont="1" applyFill="1" applyBorder="1" applyAlignment="1">
      <alignment vertical="center" wrapText="1"/>
    </xf>
    <xf numFmtId="0" fontId="32" fillId="3" borderId="82" xfId="0" applyFont="1" applyFill="1" applyBorder="1" applyAlignment="1">
      <alignment vertical="center" wrapText="1"/>
    </xf>
    <xf numFmtId="0" fontId="16" fillId="3" borderId="2"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32" fillId="3" borderId="21" xfId="0" applyFont="1" applyFill="1" applyBorder="1" applyAlignment="1">
      <alignment horizontal="center" vertical="center" wrapText="1"/>
    </xf>
    <xf numFmtId="0" fontId="32" fillId="3" borderId="22" xfId="0" applyFont="1" applyFill="1" applyBorder="1" applyAlignment="1">
      <alignment horizontal="center" vertical="center" wrapText="1"/>
    </xf>
    <xf numFmtId="0" fontId="32" fillId="3" borderId="83" xfId="0" applyFont="1" applyFill="1" applyBorder="1" applyAlignment="1">
      <alignment horizontal="center" vertical="center" wrapText="1"/>
    </xf>
    <xf numFmtId="0" fontId="32" fillId="3" borderId="24" xfId="0" applyFont="1" applyFill="1" applyBorder="1" applyAlignment="1">
      <alignment horizontal="center" vertical="center" wrapText="1"/>
    </xf>
    <xf numFmtId="0" fontId="32" fillId="3" borderId="26" xfId="0" applyFont="1" applyFill="1" applyBorder="1" applyAlignment="1">
      <alignment horizontal="center" vertical="center" wrapText="1"/>
    </xf>
    <xf numFmtId="0" fontId="32" fillId="3" borderId="27" xfId="0" applyFont="1" applyFill="1" applyBorder="1" applyAlignment="1">
      <alignment horizontal="center" vertical="center" wrapText="1"/>
    </xf>
    <xf numFmtId="0" fontId="32" fillId="3" borderId="84" xfId="0" applyFont="1" applyFill="1" applyBorder="1" applyAlignment="1">
      <alignment horizontal="center" vertical="center" wrapText="1"/>
    </xf>
    <xf numFmtId="0" fontId="51" fillId="4" borderId="3" xfId="0" applyFont="1" applyFill="1" applyBorder="1" applyAlignment="1">
      <alignment horizontal="center" vertical="center" wrapText="1"/>
    </xf>
    <xf numFmtId="0" fontId="51" fillId="4" borderId="3" xfId="0" applyFont="1" applyFill="1" applyBorder="1" applyAlignment="1">
      <alignment horizontal="center" vertical="center"/>
    </xf>
    <xf numFmtId="0" fontId="51" fillId="4" borderId="4" xfId="0" applyFont="1" applyFill="1" applyBorder="1" applyAlignment="1">
      <alignment horizontal="center" vertical="center"/>
    </xf>
    <xf numFmtId="0" fontId="51" fillId="4" borderId="2" xfId="0" applyFont="1" applyFill="1" applyBorder="1" applyAlignment="1">
      <alignment horizontal="center" vertical="center" wrapText="1"/>
    </xf>
    <xf numFmtId="0" fontId="51" fillId="4" borderId="4" xfId="0" applyFont="1" applyFill="1" applyBorder="1" applyAlignment="1">
      <alignment horizontal="center" vertical="center" wrapText="1"/>
    </xf>
    <xf numFmtId="0" fontId="32" fillId="3" borderId="1" xfId="0" quotePrefix="1" applyFont="1" applyFill="1" applyBorder="1" applyAlignment="1">
      <alignment horizontal="center" vertical="center"/>
    </xf>
    <xf numFmtId="0" fontId="51" fillId="0" borderId="5" xfId="0" applyFont="1" applyBorder="1" applyAlignment="1">
      <alignment vertical="center" wrapText="1"/>
    </xf>
    <xf numFmtId="0" fontId="51" fillId="0" borderId="9" xfId="0" applyFont="1" applyBorder="1" applyAlignment="1">
      <alignment vertical="center" wrapText="1"/>
    </xf>
    <xf numFmtId="0" fontId="51" fillId="0" borderId="7" xfId="0" applyFont="1" applyBorder="1" applyAlignment="1">
      <alignment vertical="center" wrapText="1"/>
    </xf>
    <xf numFmtId="0" fontId="51" fillId="0" borderId="11" xfId="0" applyFont="1" applyBorder="1" applyAlignment="1">
      <alignment horizontal="center" vertical="center"/>
    </xf>
    <xf numFmtId="0" fontId="51" fillId="0" borderId="12" xfId="0" applyFont="1" applyBorder="1" applyAlignment="1">
      <alignment horizontal="center" vertical="center"/>
    </xf>
    <xf numFmtId="0" fontId="51" fillId="0" borderId="0" xfId="0" applyFont="1" applyBorder="1" applyAlignment="1">
      <alignment horizontal="center" vertical="center"/>
    </xf>
    <xf numFmtId="0" fontId="51" fillId="0" borderId="6" xfId="0" applyFont="1" applyBorder="1" applyAlignment="1">
      <alignment horizontal="center" vertical="center"/>
    </xf>
    <xf numFmtId="0" fontId="51" fillId="0" borderId="15" xfId="0" applyFont="1" applyBorder="1" applyAlignment="1">
      <alignment horizontal="center" vertical="center"/>
    </xf>
    <xf numFmtId="0" fontId="51" fillId="0" borderId="8" xfId="0" applyFont="1" applyBorder="1" applyAlignment="1">
      <alignment horizontal="center" vertical="center"/>
    </xf>
    <xf numFmtId="0" fontId="51" fillId="3" borderId="5" xfId="0" applyFont="1" applyFill="1" applyBorder="1" applyAlignment="1">
      <alignment vertical="center" wrapText="1"/>
    </xf>
    <xf numFmtId="0" fontId="51" fillId="3" borderId="9" xfId="0" applyFont="1" applyFill="1" applyBorder="1" applyAlignment="1">
      <alignment vertical="center" wrapText="1"/>
    </xf>
    <xf numFmtId="0" fontId="51" fillId="3" borderId="7" xfId="0" applyFont="1" applyFill="1" applyBorder="1" applyAlignment="1">
      <alignment vertical="center" wrapText="1"/>
    </xf>
    <xf numFmtId="0" fontId="51" fillId="3" borderId="10" xfId="0" applyFont="1" applyFill="1" applyBorder="1" applyAlignment="1">
      <alignment horizontal="center" vertical="center"/>
    </xf>
    <xf numFmtId="0" fontId="51" fillId="3" borderId="11" xfId="0" applyFont="1" applyFill="1" applyBorder="1" applyAlignment="1">
      <alignment horizontal="center" vertical="center"/>
    </xf>
    <xf numFmtId="0" fontId="51" fillId="3" borderId="12" xfId="0" applyFont="1" applyFill="1" applyBorder="1" applyAlignment="1">
      <alignment horizontal="center" vertical="center"/>
    </xf>
    <xf numFmtId="0" fontId="51" fillId="3" borderId="13" xfId="0" applyFont="1" applyFill="1" applyBorder="1" applyAlignment="1">
      <alignment horizontal="center" vertical="center"/>
    </xf>
    <xf numFmtId="0" fontId="51" fillId="3" borderId="0" xfId="0" applyFont="1" applyFill="1" applyBorder="1" applyAlignment="1">
      <alignment horizontal="center" vertical="center"/>
    </xf>
    <xf numFmtId="0" fontId="51" fillId="3" borderId="6" xfId="0" applyFont="1" applyFill="1" applyBorder="1" applyAlignment="1">
      <alignment horizontal="center" vertical="center"/>
    </xf>
    <xf numFmtId="0" fontId="51" fillId="3" borderId="14" xfId="0" applyFont="1" applyFill="1" applyBorder="1" applyAlignment="1">
      <alignment horizontal="center" vertical="center"/>
    </xf>
    <xf numFmtId="0" fontId="51" fillId="3" borderId="15" xfId="0" applyFont="1" applyFill="1" applyBorder="1" applyAlignment="1">
      <alignment horizontal="center" vertical="center"/>
    </xf>
    <xf numFmtId="0" fontId="51" fillId="3" borderId="8" xfId="0" applyFont="1" applyFill="1" applyBorder="1" applyAlignment="1">
      <alignment horizontal="center" vertical="center"/>
    </xf>
    <xf numFmtId="9" fontId="51" fillId="4" borderId="2" xfId="0" applyNumberFormat="1" applyFont="1" applyFill="1" applyBorder="1" applyAlignment="1">
      <alignment horizontal="center" vertical="center"/>
    </xf>
    <xf numFmtId="9" fontId="51" fillId="4" borderId="3" xfId="0" applyNumberFormat="1" applyFont="1" applyFill="1" applyBorder="1" applyAlignment="1">
      <alignment horizontal="center" vertical="center"/>
    </xf>
    <xf numFmtId="9" fontId="51" fillId="4" borderId="4" xfId="0" applyNumberFormat="1" applyFont="1" applyFill="1" applyBorder="1" applyAlignment="1">
      <alignment horizontal="center" vertical="center"/>
    </xf>
    <xf numFmtId="9" fontId="51" fillId="3" borderId="2" xfId="0" applyNumberFormat="1" applyFont="1" applyFill="1" applyBorder="1" applyAlignment="1">
      <alignment horizontal="center" vertical="center"/>
    </xf>
    <xf numFmtId="9" fontId="51" fillId="3" borderId="3" xfId="0" applyNumberFormat="1" applyFont="1" applyFill="1" applyBorder="1" applyAlignment="1">
      <alignment horizontal="center" vertical="center"/>
    </xf>
    <xf numFmtId="9" fontId="51" fillId="3" borderId="4" xfId="0" applyNumberFormat="1" applyFont="1" applyFill="1" applyBorder="1" applyAlignment="1">
      <alignment horizontal="center" vertical="center"/>
    </xf>
    <xf numFmtId="0" fontId="51" fillId="3" borderId="10" xfId="0" applyFont="1" applyFill="1" applyBorder="1" applyAlignment="1">
      <alignment horizontal="left" vertical="center" wrapText="1"/>
    </xf>
    <xf numFmtId="0" fontId="51" fillId="3" borderId="11" xfId="0" applyFont="1" applyFill="1" applyBorder="1" applyAlignment="1">
      <alignment horizontal="left" vertical="center" wrapText="1"/>
    </xf>
    <xf numFmtId="0" fontId="51" fillId="3" borderId="12" xfId="0" applyFont="1" applyFill="1" applyBorder="1" applyAlignment="1">
      <alignment horizontal="left" vertical="center" wrapText="1"/>
    </xf>
    <xf numFmtId="0" fontId="51" fillId="3" borderId="13" xfId="0" applyFont="1" applyFill="1" applyBorder="1" applyAlignment="1">
      <alignment horizontal="left" vertical="center" wrapText="1"/>
    </xf>
    <xf numFmtId="0" fontId="51" fillId="3" borderId="0" xfId="0" applyFont="1" applyFill="1" applyBorder="1" applyAlignment="1">
      <alignment horizontal="left" vertical="center" wrapText="1"/>
    </xf>
    <xf numFmtId="0" fontId="51" fillId="3" borderId="6" xfId="0" applyFont="1" applyFill="1" applyBorder="1" applyAlignment="1">
      <alignment horizontal="left" vertical="center" wrapText="1"/>
    </xf>
    <xf numFmtId="0" fontId="51" fillId="3" borderId="14" xfId="0" applyFont="1" applyFill="1" applyBorder="1" applyAlignment="1">
      <alignment horizontal="left" vertical="center" wrapText="1"/>
    </xf>
    <xf numFmtId="0" fontId="51" fillId="3" borderId="15" xfId="0" applyFont="1" applyFill="1" applyBorder="1" applyAlignment="1">
      <alignment horizontal="left" vertical="center" wrapText="1"/>
    </xf>
    <xf numFmtId="0" fontId="51" fillId="3" borderId="8" xfId="0" applyFont="1" applyFill="1" applyBorder="1" applyAlignment="1">
      <alignment horizontal="left" vertical="center" wrapText="1"/>
    </xf>
    <xf numFmtId="0" fontId="51" fillId="3" borderId="2" xfId="0" applyFont="1" applyFill="1" applyBorder="1" applyAlignment="1">
      <alignment horizontal="left" vertical="center" wrapText="1"/>
    </xf>
    <xf numFmtId="0" fontId="51" fillId="3" borderId="3" xfId="0" applyFont="1" applyFill="1" applyBorder="1" applyAlignment="1">
      <alignment horizontal="left" vertical="center" wrapText="1"/>
    </xf>
    <xf numFmtId="0" fontId="51" fillId="3" borderId="4" xfId="0" applyFont="1" applyFill="1" applyBorder="1" applyAlignment="1">
      <alignment horizontal="left" vertical="center" wrapText="1"/>
    </xf>
    <xf numFmtId="0" fontId="51" fillId="3" borderId="10" xfId="0" applyFont="1" applyFill="1" applyBorder="1" applyAlignment="1">
      <alignment vertical="center" wrapText="1"/>
    </xf>
    <xf numFmtId="0" fontId="51" fillId="3" borderId="11" xfId="0" applyFont="1" applyFill="1" applyBorder="1" applyAlignment="1">
      <alignment vertical="center" wrapText="1"/>
    </xf>
    <xf numFmtId="0" fontId="51" fillId="3" borderId="12" xfId="0" applyFont="1" applyFill="1" applyBorder="1" applyAlignment="1">
      <alignment vertical="center" wrapText="1"/>
    </xf>
    <xf numFmtId="0" fontId="51" fillId="3" borderId="13" xfId="0" applyFont="1" applyFill="1" applyBorder="1" applyAlignment="1">
      <alignment vertical="center" wrapText="1"/>
    </xf>
    <xf numFmtId="0" fontId="51" fillId="3" borderId="0" xfId="0" applyFont="1" applyFill="1" applyBorder="1" applyAlignment="1">
      <alignment vertical="center" wrapText="1"/>
    </xf>
    <xf numFmtId="0" fontId="51" fillId="3" borderId="6" xfId="0" applyFont="1" applyFill="1" applyBorder="1" applyAlignment="1">
      <alignment vertical="center" wrapText="1"/>
    </xf>
    <xf numFmtId="0" fontId="51" fillId="3" borderId="14" xfId="0" applyFont="1" applyFill="1" applyBorder="1" applyAlignment="1">
      <alignment vertical="center" wrapText="1"/>
    </xf>
    <xf numFmtId="0" fontId="51" fillId="3" borderId="15" xfId="0" applyFont="1" applyFill="1" applyBorder="1" applyAlignment="1">
      <alignment vertical="center" wrapText="1"/>
    </xf>
    <xf numFmtId="0" fontId="51" fillId="3" borderId="8" xfId="0" applyFont="1" applyFill="1" applyBorder="1" applyAlignment="1">
      <alignment vertical="center" wrapText="1"/>
    </xf>
    <xf numFmtId="0" fontId="51" fillId="3" borderId="2" xfId="0" applyFont="1" applyFill="1" applyBorder="1" applyAlignment="1">
      <alignment vertical="center" wrapText="1"/>
    </xf>
    <xf numFmtId="0" fontId="51" fillId="3" borderId="3" xfId="0" applyFont="1" applyFill="1" applyBorder="1" applyAlignment="1">
      <alignment vertical="center" wrapText="1"/>
    </xf>
    <xf numFmtId="0" fontId="51" fillId="3" borderId="4" xfId="0" applyFont="1" applyFill="1" applyBorder="1" applyAlignment="1">
      <alignment vertical="center" wrapText="1"/>
    </xf>
    <xf numFmtId="0" fontId="16" fillId="4" borderId="2"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4" xfId="0" applyFont="1" applyFill="1" applyBorder="1" applyAlignment="1">
      <alignment horizontal="center" vertical="center"/>
    </xf>
    <xf numFmtId="0" fontId="51" fillId="0" borderId="2" xfId="0" applyFont="1" applyBorder="1" applyAlignment="1">
      <alignment vertical="center" wrapText="1"/>
    </xf>
    <xf numFmtId="0" fontId="51" fillId="0" borderId="3" xfId="0" applyFont="1" applyBorder="1" applyAlignment="1">
      <alignment vertical="center" wrapText="1"/>
    </xf>
    <xf numFmtId="0" fontId="51" fillId="0" borderId="4" xfId="0" applyFont="1" applyBorder="1" applyAlignment="1">
      <alignment vertical="center" wrapText="1"/>
    </xf>
    <xf numFmtId="0" fontId="51" fillId="4" borderId="3" xfId="0" applyFont="1" applyFill="1" applyBorder="1" applyAlignment="1">
      <alignment horizontal="left" vertical="center" wrapText="1"/>
    </xf>
    <xf numFmtId="0" fontId="51" fillId="4" borderId="3" xfId="0" applyFont="1" applyFill="1" applyBorder="1" applyAlignment="1">
      <alignment horizontal="left" vertical="center"/>
    </xf>
    <xf numFmtId="0" fontId="51" fillId="4" borderId="4" xfId="0" applyFont="1" applyFill="1" applyBorder="1" applyAlignment="1">
      <alignment horizontal="left" vertical="center"/>
    </xf>
    <xf numFmtId="0" fontId="51" fillId="4" borderId="2" xfId="0" applyFont="1" applyFill="1" applyBorder="1" applyAlignment="1">
      <alignment horizontal="left" vertical="center" wrapText="1"/>
    </xf>
    <xf numFmtId="0" fontId="51" fillId="4" borderId="4" xfId="0" applyFont="1" applyFill="1" applyBorder="1" applyAlignment="1">
      <alignment horizontal="left" vertical="center" wrapText="1"/>
    </xf>
    <xf numFmtId="0" fontId="51" fillId="4" borderId="2" xfId="0" applyFont="1" applyFill="1" applyBorder="1" applyAlignment="1">
      <alignment horizontal="center" vertical="center"/>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80" fillId="3" borderId="0" xfId="0" applyFont="1" applyFill="1" applyAlignment="1">
      <alignment horizontal="center"/>
    </xf>
    <xf numFmtId="0" fontId="51" fillId="3" borderId="1" xfId="0" applyFont="1" applyFill="1" applyBorder="1" applyAlignment="1">
      <alignment horizontal="center" vertical="center"/>
    </xf>
    <xf numFmtId="49" fontId="51" fillId="3" borderId="2" xfId="0" applyNumberFormat="1" applyFont="1" applyFill="1" applyBorder="1" applyAlignment="1">
      <alignment horizontal="center" vertical="center"/>
    </xf>
    <xf numFmtId="49" fontId="51" fillId="3" borderId="3" xfId="0" applyNumberFormat="1" applyFont="1" applyFill="1" applyBorder="1" applyAlignment="1">
      <alignment horizontal="center" vertical="center"/>
    </xf>
    <xf numFmtId="49" fontId="51" fillId="3" borderId="4" xfId="0" applyNumberFormat="1" applyFont="1" applyFill="1" applyBorder="1" applyAlignment="1">
      <alignment horizontal="center" vertical="center"/>
    </xf>
    <xf numFmtId="0" fontId="39" fillId="0" borderId="10"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3"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6" xfId="0" applyFont="1" applyBorder="1" applyAlignment="1">
      <alignment horizontal="center" vertical="center" wrapText="1"/>
    </xf>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8" xfId="0" applyFont="1" applyBorder="1" applyAlignment="1">
      <alignment horizontal="center" vertical="center" wrapText="1"/>
    </xf>
    <xf numFmtId="0" fontId="39" fillId="4" borderId="3" xfId="0" applyFont="1" applyFill="1" applyBorder="1" applyAlignment="1">
      <alignment horizontal="center" vertical="center" wrapText="1"/>
    </xf>
    <xf numFmtId="0" fontId="39" fillId="4" borderId="3" xfId="0" applyFont="1" applyFill="1" applyBorder="1" applyAlignment="1">
      <alignment horizontal="center" vertical="center"/>
    </xf>
    <xf numFmtId="0" fontId="39" fillId="4" borderId="4" xfId="0" applyFont="1" applyFill="1" applyBorder="1" applyAlignment="1">
      <alignment horizontal="center" vertical="center"/>
    </xf>
    <xf numFmtId="0" fontId="52" fillId="3" borderId="2" xfId="0" applyFont="1" applyFill="1" applyBorder="1" applyAlignment="1">
      <alignment horizontal="center" vertical="center" wrapText="1"/>
    </xf>
    <xf numFmtId="0" fontId="52" fillId="3" borderId="3" xfId="0" applyFont="1" applyFill="1" applyBorder="1" applyAlignment="1">
      <alignment horizontal="center" vertical="center" wrapText="1"/>
    </xf>
    <xf numFmtId="0" fontId="52" fillId="3" borderId="4" xfId="0" applyFont="1" applyFill="1" applyBorder="1" applyAlignment="1">
      <alignment horizontal="center" vertical="center" wrapText="1"/>
    </xf>
    <xf numFmtId="49" fontId="32" fillId="0" borderId="2" xfId="0" applyNumberFormat="1" applyFont="1" applyFill="1" applyBorder="1" applyAlignment="1">
      <alignment horizontal="center" vertical="center"/>
    </xf>
    <xf numFmtId="49" fontId="32" fillId="0" borderId="3" xfId="0" applyNumberFormat="1" applyFont="1" applyFill="1" applyBorder="1" applyAlignment="1">
      <alignment horizontal="center" vertical="center"/>
    </xf>
    <xf numFmtId="49" fontId="32" fillId="0" borderId="4" xfId="0" applyNumberFormat="1" applyFont="1" applyFill="1" applyBorder="1" applyAlignment="1">
      <alignment horizontal="center" vertical="center"/>
    </xf>
    <xf numFmtId="0" fontId="16" fillId="9" borderId="90" xfId="0" applyFont="1" applyFill="1" applyBorder="1" applyAlignment="1">
      <alignment horizontal="center" vertical="center" wrapText="1"/>
    </xf>
    <xf numFmtId="0" fontId="16" fillId="9" borderId="3" xfId="0" applyFont="1" applyFill="1" applyBorder="1" applyAlignment="1">
      <alignment horizontal="center" vertical="center" wrapText="1"/>
    </xf>
    <xf numFmtId="0" fontId="16" fillId="9" borderId="89" xfId="0" applyFont="1" applyFill="1" applyBorder="1" applyAlignment="1">
      <alignment horizontal="center" vertical="center" wrapText="1"/>
    </xf>
    <xf numFmtId="0" fontId="32" fillId="3" borderId="96" xfId="0" applyFont="1" applyFill="1" applyBorder="1" applyAlignment="1">
      <alignment horizontal="center" vertical="center" wrapText="1"/>
    </xf>
    <xf numFmtId="0" fontId="32" fillId="3" borderId="86" xfId="0" applyFont="1" applyFill="1" applyBorder="1" applyAlignment="1">
      <alignment horizontal="center" vertical="center" wrapText="1"/>
    </xf>
    <xf numFmtId="0" fontId="16" fillId="0" borderId="85" xfId="0" applyFont="1" applyFill="1" applyBorder="1" applyAlignment="1">
      <alignment horizontal="left" vertical="top" wrapText="1"/>
    </xf>
    <xf numFmtId="0" fontId="16" fillId="0" borderId="73" xfId="0" applyFont="1" applyFill="1" applyBorder="1" applyAlignment="1">
      <alignment horizontal="left" vertical="top" wrapText="1"/>
    </xf>
    <xf numFmtId="0" fontId="16" fillId="0" borderId="74" xfId="0" applyFont="1" applyFill="1" applyBorder="1" applyAlignment="1">
      <alignment horizontal="left" vertical="top" wrapText="1"/>
    </xf>
    <xf numFmtId="0" fontId="33" fillId="0" borderId="21" xfId="0" applyFont="1" applyFill="1" applyBorder="1" applyAlignment="1">
      <alignment horizontal="center" vertical="center" wrapText="1"/>
    </xf>
    <xf numFmtId="0" fontId="33" fillId="0" borderId="22" xfId="0" applyFont="1" applyFill="1" applyBorder="1" applyAlignment="1">
      <alignment horizontal="center" vertical="center" wrapText="1"/>
    </xf>
    <xf numFmtId="0" fontId="33" fillId="0" borderId="23" xfId="0" applyFont="1" applyFill="1" applyBorder="1" applyAlignment="1">
      <alignment horizontal="center" vertical="center" wrapText="1"/>
    </xf>
    <xf numFmtId="0" fontId="33" fillId="0" borderId="90" xfId="0" applyFont="1" applyFill="1" applyBorder="1" applyAlignment="1">
      <alignment horizontal="center" vertical="center"/>
    </xf>
    <xf numFmtId="0" fontId="33" fillId="0" borderId="15" xfId="0" applyFont="1" applyFill="1" applyBorder="1" applyAlignment="1">
      <alignment horizontal="center" vertical="center"/>
    </xf>
    <xf numFmtId="0" fontId="33" fillId="0" borderId="87" xfId="0" applyFont="1" applyFill="1" applyBorder="1" applyAlignment="1">
      <alignment horizontal="center" vertical="center"/>
    </xf>
    <xf numFmtId="0" fontId="69" fillId="0" borderId="85" xfId="0" applyFont="1" applyFill="1" applyBorder="1" applyAlignment="1" applyProtection="1">
      <alignment horizontal="left" vertical="top" wrapText="1"/>
      <protection locked="0"/>
    </xf>
    <xf numFmtId="0" fontId="69" fillId="0" borderId="73" xfId="0" applyFont="1" applyFill="1" applyBorder="1" applyAlignment="1" applyProtection="1">
      <alignment horizontal="left" vertical="top" wrapText="1"/>
      <protection locked="0"/>
    </xf>
    <xf numFmtId="0" fontId="69" fillId="0" borderId="74" xfId="0" applyFont="1" applyFill="1" applyBorder="1" applyAlignment="1" applyProtection="1">
      <alignment horizontal="left" vertical="top" wrapText="1"/>
      <protection locked="0"/>
    </xf>
    <xf numFmtId="0" fontId="32" fillId="3" borderId="109" xfId="0" applyFont="1" applyFill="1" applyBorder="1" applyAlignment="1">
      <alignment horizontal="center" vertical="center"/>
    </xf>
    <xf numFmtId="0" fontId="32" fillId="3" borderId="94" xfId="0" applyFont="1" applyFill="1" applyBorder="1" applyAlignment="1">
      <alignment horizontal="center" vertical="center"/>
    </xf>
    <xf numFmtId="0" fontId="32" fillId="3" borderId="95" xfId="0" applyFont="1" applyFill="1" applyBorder="1" applyAlignment="1">
      <alignment horizontal="center" vertical="center"/>
    </xf>
    <xf numFmtId="0" fontId="16" fillId="0" borderId="85" xfId="0" applyFont="1" applyFill="1" applyBorder="1" applyAlignment="1" applyProtection="1">
      <alignment horizontal="left" vertical="top" wrapText="1"/>
      <protection locked="0"/>
    </xf>
    <xf numFmtId="0" fontId="16" fillId="0" borderId="73" xfId="0" applyFont="1" applyFill="1" applyBorder="1" applyAlignment="1" applyProtection="1">
      <alignment horizontal="left" vertical="top" wrapText="1"/>
      <protection locked="0"/>
    </xf>
    <xf numFmtId="0" fontId="16" fillId="0" borderId="74" xfId="0" applyFont="1" applyFill="1" applyBorder="1" applyAlignment="1" applyProtection="1">
      <alignment horizontal="left" vertical="top" wrapText="1"/>
      <protection locked="0"/>
    </xf>
    <xf numFmtId="0" fontId="32" fillId="0" borderId="87" xfId="0" applyFont="1" applyFill="1" applyBorder="1" applyAlignment="1">
      <alignment horizontal="center" vertical="center"/>
    </xf>
    <xf numFmtId="9" fontId="32" fillId="0" borderId="72" xfId="0" applyNumberFormat="1" applyFont="1" applyFill="1" applyBorder="1" applyAlignment="1">
      <alignment horizontal="center" vertical="center"/>
    </xf>
    <xf numFmtId="9" fontId="32" fillId="0" borderId="73" xfId="0" applyNumberFormat="1" applyFont="1" applyFill="1" applyBorder="1" applyAlignment="1">
      <alignment horizontal="center" vertical="center"/>
    </xf>
    <xf numFmtId="9" fontId="32" fillId="0" borderId="74" xfId="0" applyNumberFormat="1" applyFont="1" applyFill="1" applyBorder="1" applyAlignment="1">
      <alignment horizontal="center" vertical="center"/>
    </xf>
    <xf numFmtId="0" fontId="16" fillId="4" borderId="90" xfId="0" applyFont="1" applyFill="1" applyBorder="1" applyAlignment="1">
      <alignment horizontal="center" vertical="center" wrapText="1"/>
    </xf>
    <xf numFmtId="0" fontId="16" fillId="4" borderId="89" xfId="0" applyFont="1" applyFill="1" applyBorder="1" applyAlignment="1">
      <alignment horizontal="center" vertical="center" wrapText="1"/>
    </xf>
    <xf numFmtId="9" fontId="32" fillId="0" borderId="10" xfId="0" applyNumberFormat="1" applyFont="1" applyFill="1" applyBorder="1" applyAlignment="1">
      <alignment horizontal="center" vertical="center"/>
    </xf>
    <xf numFmtId="9" fontId="32" fillId="0" borderId="11" xfId="0" applyNumberFormat="1" applyFont="1" applyFill="1" applyBorder="1" applyAlignment="1">
      <alignment horizontal="center" vertical="center"/>
    </xf>
    <xf numFmtId="9" fontId="32" fillId="0" borderId="92" xfId="0" applyNumberFormat="1" applyFont="1" applyFill="1" applyBorder="1" applyAlignment="1">
      <alignment horizontal="center" vertical="center"/>
    </xf>
    <xf numFmtId="0" fontId="69" fillId="0" borderId="85" xfId="0" applyFont="1" applyFill="1" applyBorder="1" applyAlignment="1">
      <alignment horizontal="left" vertical="top" wrapText="1"/>
    </xf>
    <xf numFmtId="0" fontId="69" fillId="0" borderId="73" xfId="0" applyFont="1" applyFill="1" applyBorder="1" applyAlignment="1">
      <alignment horizontal="left" vertical="top" wrapText="1"/>
    </xf>
    <xf numFmtId="0" fontId="69" fillId="0" borderId="74" xfId="0" applyFont="1" applyFill="1" applyBorder="1" applyAlignment="1">
      <alignment horizontal="left" vertical="top" wrapText="1"/>
    </xf>
    <xf numFmtId="0" fontId="33" fillId="0" borderId="85" xfId="0" applyFont="1" applyFill="1" applyBorder="1" applyAlignment="1">
      <alignment horizontal="center" vertical="center"/>
    </xf>
    <xf numFmtId="0" fontId="33" fillId="0" borderId="73" xfId="0" applyFont="1" applyFill="1" applyBorder="1" applyAlignment="1">
      <alignment horizontal="center" vertical="center"/>
    </xf>
    <xf numFmtId="0" fontId="33" fillId="0" borderId="74" xfId="0" applyFont="1" applyFill="1" applyBorder="1" applyAlignment="1">
      <alignment horizontal="center" vertical="center"/>
    </xf>
    <xf numFmtId="0" fontId="32" fillId="3" borderId="87" xfId="0" applyFont="1" applyFill="1" applyBorder="1" applyAlignment="1">
      <alignment horizontal="center" vertical="center"/>
    </xf>
    <xf numFmtId="0" fontId="55" fillId="0" borderId="2" xfId="0" applyFont="1" applyFill="1" applyBorder="1" applyAlignment="1">
      <alignment horizontal="center" vertical="center" wrapText="1"/>
    </xf>
    <xf numFmtId="0" fontId="55" fillId="0" borderId="3" xfId="0" applyFont="1" applyFill="1" applyBorder="1" applyAlignment="1">
      <alignment horizontal="center" vertical="center" wrapText="1"/>
    </xf>
    <xf numFmtId="0" fontId="55" fillId="0" borderId="89" xfId="0" applyFont="1" applyFill="1" applyBorder="1" applyAlignment="1">
      <alignment horizontal="center" vertical="center" wrapText="1"/>
    </xf>
    <xf numFmtId="0" fontId="32" fillId="3" borderId="89" xfId="0" applyFont="1" applyFill="1" applyBorder="1" applyAlignment="1">
      <alignment horizontal="center" vertical="center"/>
    </xf>
    <xf numFmtId="0" fontId="16" fillId="3" borderId="90" xfId="0" applyFont="1" applyFill="1" applyBorder="1" applyAlignment="1">
      <alignment horizontal="center" vertical="center" wrapText="1"/>
    </xf>
    <xf numFmtId="0" fontId="16" fillId="3" borderId="89" xfId="0" applyFont="1" applyFill="1" applyBorder="1" applyAlignment="1">
      <alignment horizontal="center" vertical="center" wrapText="1"/>
    </xf>
    <xf numFmtId="9" fontId="32" fillId="0" borderId="89" xfId="0" applyNumberFormat="1" applyFont="1" applyFill="1" applyBorder="1" applyAlignment="1">
      <alignment horizontal="center" vertical="center"/>
    </xf>
    <xf numFmtId="0" fontId="32" fillId="0" borderId="96" xfId="0" applyFont="1" applyFill="1" applyBorder="1" applyAlignment="1">
      <alignment horizontal="center" vertical="center" wrapText="1"/>
    </xf>
    <xf numFmtId="0" fontId="32" fillId="0" borderId="86" xfId="0" applyFont="1" applyFill="1" applyBorder="1" applyAlignment="1">
      <alignment horizontal="center" vertical="center" wrapText="1"/>
    </xf>
    <xf numFmtId="0" fontId="16" fillId="0" borderId="9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89" xfId="0" applyFont="1" applyFill="1" applyBorder="1" applyAlignment="1">
      <alignment horizontal="center" vertical="center" wrapText="1"/>
    </xf>
    <xf numFmtId="0" fontId="55" fillId="0" borderId="37" xfId="0" applyFont="1" applyFill="1" applyBorder="1" applyAlignment="1" applyProtection="1">
      <alignment horizontal="left" vertical="top" wrapText="1"/>
      <protection locked="0"/>
    </xf>
    <xf numFmtId="0" fontId="53" fillId="0" borderId="51" xfId="0" applyFont="1" applyFill="1" applyBorder="1" applyAlignment="1">
      <alignment horizontal="left" vertical="top" wrapText="1"/>
    </xf>
    <xf numFmtId="0" fontId="55" fillId="0" borderId="2"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89" xfId="0" applyFont="1" applyFill="1" applyBorder="1" applyAlignment="1">
      <alignment horizontal="center" vertical="center"/>
    </xf>
    <xf numFmtId="0" fontId="32" fillId="0" borderId="89" xfId="0" applyFont="1" applyFill="1" applyBorder="1" applyAlignment="1">
      <alignment horizontal="center" vertical="center"/>
    </xf>
    <xf numFmtId="0" fontId="33" fillId="0" borderId="99" xfId="0" applyFont="1" applyFill="1" applyBorder="1" applyAlignment="1">
      <alignment horizontal="center" vertical="center"/>
    </xf>
    <xf numFmtId="0" fontId="33" fillId="0" borderId="89" xfId="0" applyFont="1" applyFill="1" applyBorder="1" applyAlignment="1">
      <alignment horizontal="center" vertical="center"/>
    </xf>
    <xf numFmtId="0" fontId="33" fillId="3" borderId="21"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33" fillId="3" borderId="23" xfId="0" applyFont="1" applyFill="1" applyBorder="1" applyAlignment="1">
      <alignment horizontal="center" vertical="center" wrapText="1"/>
    </xf>
    <xf numFmtId="0" fontId="69" fillId="0" borderId="85" xfId="0" applyFont="1" applyFill="1" applyBorder="1" applyAlignment="1" applyProtection="1">
      <alignment horizontal="left" vertical="center" wrapText="1"/>
      <protection locked="0"/>
    </xf>
    <xf numFmtId="0" fontId="53" fillId="0" borderId="73" xfId="0" applyFont="1" applyFill="1" applyBorder="1" applyAlignment="1">
      <alignment horizontal="left" vertical="center" wrapText="1"/>
    </xf>
    <xf numFmtId="0" fontId="53" fillId="0" borderId="73" xfId="0" applyFont="1" applyFill="1" applyBorder="1" applyAlignment="1">
      <alignment horizontal="left" vertical="center"/>
    </xf>
    <xf numFmtId="0" fontId="53" fillId="0" borderId="74" xfId="0" applyFont="1" applyFill="1" applyBorder="1" applyAlignment="1">
      <alignment horizontal="left" vertical="center"/>
    </xf>
    <xf numFmtId="0" fontId="55" fillId="0" borderId="100" xfId="0" applyFont="1" applyFill="1" applyBorder="1" applyAlignment="1">
      <alignment horizontal="center" vertical="center" wrapText="1"/>
    </xf>
    <xf numFmtId="0" fontId="56" fillId="0" borderId="78" xfId="0" applyFont="1" applyFill="1" applyBorder="1" applyAlignment="1">
      <alignment horizontal="center" vertical="center" wrapText="1"/>
    </xf>
    <xf numFmtId="0" fontId="56" fillId="0" borderId="101" xfId="0" applyFont="1" applyFill="1" applyBorder="1" applyAlignment="1">
      <alignment horizontal="center" vertical="center" wrapText="1"/>
    </xf>
    <xf numFmtId="0" fontId="69" fillId="0" borderId="73" xfId="0" applyFont="1" applyFill="1" applyBorder="1" applyAlignment="1" applyProtection="1">
      <alignment horizontal="left" vertical="center" wrapText="1"/>
      <protection locked="0"/>
    </xf>
    <xf numFmtId="0" fontId="69" fillId="0" borderId="74" xfId="0" applyFont="1" applyFill="1" applyBorder="1" applyAlignment="1" applyProtection="1">
      <alignment horizontal="left" vertical="center" wrapText="1"/>
      <protection locked="0"/>
    </xf>
    <xf numFmtId="0" fontId="55" fillId="0" borderId="13"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25" xfId="0" applyFont="1" applyFill="1" applyBorder="1" applyAlignment="1">
      <alignment horizontal="center" vertical="center"/>
    </xf>
    <xf numFmtId="0" fontId="33" fillId="0" borderId="85" xfId="0" applyFont="1" applyFill="1" applyBorder="1" applyAlignment="1">
      <alignment vertical="center" wrapText="1"/>
    </xf>
    <xf numFmtId="0" fontId="33" fillId="0" borderId="73" xfId="0" applyFont="1" applyFill="1" applyBorder="1" applyAlignment="1">
      <alignment vertical="center" wrapText="1"/>
    </xf>
    <xf numFmtId="0" fontId="33" fillId="0" borderId="74" xfId="0" applyFont="1" applyFill="1" applyBorder="1" applyAlignment="1">
      <alignment vertical="center" wrapText="1"/>
    </xf>
    <xf numFmtId="0" fontId="32" fillId="0" borderId="93" xfId="0" applyFont="1" applyBorder="1" applyAlignment="1">
      <alignment horizontal="center" vertical="center" wrapText="1"/>
    </xf>
    <xf numFmtId="0" fontId="32" fillId="0" borderId="94" xfId="0" applyFont="1" applyBorder="1" applyAlignment="1">
      <alignment horizontal="center" vertical="center" wrapText="1"/>
    </xf>
    <xf numFmtId="0" fontId="32" fillId="0" borderId="95" xfId="0" applyFont="1" applyBorder="1" applyAlignment="1">
      <alignment horizontal="center" vertical="center" wrapText="1"/>
    </xf>
    <xf numFmtId="0" fontId="33" fillId="0" borderId="2" xfId="0" applyFont="1" applyFill="1" applyBorder="1" applyAlignment="1">
      <alignment horizontal="center" vertical="top" wrapText="1"/>
    </xf>
    <xf numFmtId="0" fontId="33" fillId="0" borderId="3" xfId="0" applyFont="1" applyFill="1" applyBorder="1" applyAlignment="1">
      <alignment horizontal="center" vertical="top" wrapText="1"/>
    </xf>
    <xf numFmtId="0" fontId="33" fillId="0" borderId="89" xfId="0" applyFont="1" applyFill="1" applyBorder="1" applyAlignment="1">
      <alignment horizontal="center" vertical="top" wrapText="1"/>
    </xf>
    <xf numFmtId="0" fontId="32" fillId="3" borderId="81" xfId="0" applyFont="1" applyFill="1" applyBorder="1" applyAlignment="1">
      <alignment horizontal="center" vertical="center" wrapText="1"/>
    </xf>
    <xf numFmtId="0" fontId="51" fillId="0" borderId="85" xfId="0" applyFont="1" applyBorder="1" applyAlignment="1">
      <alignment vertical="center" wrapText="1"/>
    </xf>
    <xf numFmtId="0" fontId="32" fillId="0" borderId="73" xfId="0" applyFont="1" applyBorder="1" applyAlignment="1">
      <alignment vertical="center" wrapText="1"/>
    </xf>
    <xf numFmtId="0" fontId="32" fillId="0" borderId="74" xfId="0" applyFont="1" applyBorder="1" applyAlignment="1">
      <alignment vertical="center" wrapText="1"/>
    </xf>
    <xf numFmtId="49" fontId="69" fillId="0" borderId="85" xfId="0" applyNumberFormat="1" applyFont="1" applyFill="1" applyBorder="1" applyAlignment="1" applyProtection="1">
      <alignment horizontal="center" vertical="center" wrapText="1"/>
      <protection locked="0"/>
    </xf>
    <xf numFmtId="0" fontId="53" fillId="0" borderId="73" xfId="0" applyFont="1" applyFill="1" applyBorder="1" applyAlignment="1">
      <alignment horizontal="center" vertical="center" wrapText="1"/>
    </xf>
    <xf numFmtId="0" fontId="53" fillId="0" borderId="74" xfId="0" applyFont="1" applyFill="1" applyBorder="1" applyAlignment="1">
      <alignment horizontal="center" vertical="center" wrapText="1"/>
    </xf>
    <xf numFmtId="0" fontId="16" fillId="0" borderId="14" xfId="0" applyFont="1" applyBorder="1" applyAlignment="1">
      <alignment vertical="center" wrapText="1"/>
    </xf>
    <xf numFmtId="0" fontId="33" fillId="0" borderId="15" xfId="0" applyFont="1" applyBorder="1" applyAlignment="1">
      <alignment vertical="center" wrapText="1"/>
    </xf>
    <xf numFmtId="0" fontId="33" fillId="0" borderId="87" xfId="0" applyFont="1" applyBorder="1" applyAlignment="1">
      <alignment vertical="center" wrapText="1"/>
    </xf>
    <xf numFmtId="49" fontId="33" fillId="3" borderId="2" xfId="0" applyNumberFormat="1" applyFont="1" applyFill="1" applyBorder="1" applyAlignment="1">
      <alignment horizontal="center" vertical="center"/>
    </xf>
    <xf numFmtId="49" fontId="33" fillId="3" borderId="3" xfId="0" applyNumberFormat="1" applyFont="1" applyFill="1" applyBorder="1" applyAlignment="1">
      <alignment horizontal="center" vertical="center"/>
    </xf>
    <xf numFmtId="49" fontId="33" fillId="3" borderId="89" xfId="0" applyNumberFormat="1" applyFont="1" applyFill="1" applyBorder="1" applyAlignment="1">
      <alignment horizontal="center" vertical="center"/>
    </xf>
    <xf numFmtId="0" fontId="33" fillId="3" borderId="89" xfId="0" applyFont="1" applyFill="1" applyBorder="1" applyAlignment="1">
      <alignment horizontal="center" vertical="center" wrapText="1"/>
    </xf>
    <xf numFmtId="0" fontId="33" fillId="0" borderId="90" xfId="0" applyFont="1" applyFill="1" applyBorder="1" applyAlignment="1">
      <alignment horizontal="center"/>
    </xf>
    <xf numFmtId="0" fontId="33" fillId="0" borderId="3" xfId="0" applyFont="1" applyFill="1" applyBorder="1" applyAlignment="1">
      <alignment horizontal="center"/>
    </xf>
    <xf numFmtId="0" fontId="33" fillId="0" borderId="89" xfId="0" applyFont="1" applyFill="1" applyBorder="1" applyAlignment="1">
      <alignment horizontal="center"/>
    </xf>
    <xf numFmtId="49" fontId="69" fillId="0" borderId="73" xfId="0" applyNumberFormat="1" applyFont="1" applyFill="1" applyBorder="1" applyAlignment="1" applyProtection="1">
      <alignment vertical="top" wrapText="1"/>
      <protection locked="0"/>
    </xf>
    <xf numFmtId="49" fontId="69" fillId="0" borderId="74" xfId="0" applyNumberFormat="1" applyFont="1" applyFill="1" applyBorder="1" applyAlignment="1" applyProtection="1">
      <alignment vertical="top" wrapText="1"/>
      <protection locked="0"/>
    </xf>
    <xf numFmtId="0" fontId="69" fillId="0" borderId="72" xfId="0" applyFont="1" applyFill="1" applyBorder="1" applyAlignment="1" applyProtection="1">
      <alignment horizontal="left" vertical="top" wrapText="1"/>
      <protection locked="0"/>
    </xf>
    <xf numFmtId="0" fontId="53" fillId="0" borderId="73" xfId="0" applyFont="1" applyFill="1" applyBorder="1" applyAlignment="1">
      <alignment horizontal="left" vertical="top" wrapText="1"/>
    </xf>
    <xf numFmtId="0" fontId="53" fillId="0" borderId="74" xfId="0" applyFont="1" applyFill="1" applyBorder="1" applyAlignment="1">
      <alignment horizontal="left" vertical="top"/>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7" fillId="3" borderId="5" xfId="0" applyFont="1" applyFill="1" applyBorder="1" applyAlignment="1">
      <alignment vertical="center" wrapText="1"/>
    </xf>
    <xf numFmtId="0" fontId="27" fillId="3" borderId="9" xfId="0" applyFont="1" applyFill="1" applyBorder="1" applyAlignment="1">
      <alignment vertical="center" wrapText="1"/>
    </xf>
    <xf numFmtId="0" fontId="27" fillId="3" borderId="7" xfId="0" applyFont="1" applyFill="1" applyBorder="1" applyAlignment="1">
      <alignment vertical="center" wrapText="1"/>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49" fillId="4" borderId="2" xfId="0" applyFont="1" applyFill="1" applyBorder="1" applyAlignment="1">
      <alignment horizontal="center" vertical="center" wrapText="1"/>
    </xf>
    <xf numFmtId="0" fontId="49" fillId="4" borderId="3" xfId="0" applyFont="1" applyFill="1" applyBorder="1" applyAlignment="1">
      <alignment horizontal="center" vertical="center" wrapText="1"/>
    </xf>
    <xf numFmtId="0" fontId="49" fillId="4" borderId="4" xfId="0" applyFont="1" applyFill="1" applyBorder="1" applyAlignment="1">
      <alignment horizontal="center" vertical="center" wrapText="1"/>
    </xf>
    <xf numFmtId="0" fontId="16" fillId="0" borderId="10" xfId="0" applyFont="1" applyBorder="1" applyAlignment="1">
      <alignment horizontal="center"/>
    </xf>
    <xf numFmtId="0" fontId="16" fillId="0" borderId="11" xfId="0" applyFont="1" applyBorder="1" applyAlignment="1">
      <alignment horizontal="center"/>
    </xf>
    <xf numFmtId="0" fontId="16" fillId="0" borderId="12" xfId="0" applyFont="1" applyBorder="1" applyAlignment="1">
      <alignment horizontal="center"/>
    </xf>
    <xf numFmtId="0" fontId="86" fillId="0" borderId="21" xfId="0" applyFont="1" applyBorder="1" applyAlignment="1">
      <alignment horizontal="center" wrapText="1"/>
    </xf>
    <xf numFmtId="0" fontId="86" fillId="0" borderId="22" xfId="0" applyFont="1" applyBorder="1" applyAlignment="1">
      <alignment horizontal="center" wrapText="1"/>
    </xf>
    <xf numFmtId="0" fontId="86" fillId="0" borderId="23" xfId="0" applyFont="1" applyBorder="1" applyAlignment="1">
      <alignment horizontal="center" wrapText="1"/>
    </xf>
    <xf numFmtId="0" fontId="86" fillId="0" borderId="26" xfId="0" applyFont="1" applyBorder="1" applyAlignment="1">
      <alignment horizontal="center" wrapText="1"/>
    </xf>
    <xf numFmtId="0" fontId="86" fillId="0" borderId="27" xfId="0" applyFont="1" applyBorder="1" applyAlignment="1">
      <alignment horizontal="center" wrapText="1"/>
    </xf>
    <xf numFmtId="0" fontId="86" fillId="0" borderId="28" xfId="0" applyFont="1" applyBorder="1" applyAlignment="1">
      <alignment horizontal="center" wrapText="1"/>
    </xf>
    <xf numFmtId="0" fontId="86" fillId="0" borderId="111" xfId="0" applyFont="1" applyBorder="1" applyAlignment="1">
      <alignment horizontal="center" vertical="center" wrapText="1"/>
    </xf>
    <xf numFmtId="0" fontId="86" fillId="0" borderId="48" xfId="0" applyFont="1" applyBorder="1" applyAlignment="1">
      <alignment horizontal="center" vertical="center" wrapText="1"/>
    </xf>
    <xf numFmtId="0" fontId="86" fillId="0" borderId="49" xfId="0" applyFont="1" applyBorder="1" applyAlignment="1">
      <alignment horizontal="center" vertical="center" wrapText="1"/>
    </xf>
    <xf numFmtId="0" fontId="32" fillId="3" borderId="112" xfId="0" applyFont="1" applyFill="1" applyBorder="1" applyAlignment="1">
      <alignment horizontal="center" vertical="center" wrapText="1"/>
    </xf>
    <xf numFmtId="0" fontId="60" fillId="0" borderId="2" xfId="0" applyFont="1" applyFill="1" applyBorder="1" applyAlignment="1">
      <alignment horizontal="center" vertical="center" wrapText="1"/>
    </xf>
    <xf numFmtId="0" fontId="60" fillId="0" borderId="3" xfId="0" applyFont="1" applyFill="1" applyBorder="1" applyAlignment="1">
      <alignment horizontal="center" vertical="center" wrapText="1"/>
    </xf>
    <xf numFmtId="0" fontId="60" fillId="0" borderId="4" xfId="0" applyFont="1" applyFill="1" applyBorder="1" applyAlignment="1">
      <alignment horizontal="center" vertical="center" wrapText="1"/>
    </xf>
    <xf numFmtId="0" fontId="60" fillId="0" borderId="113" xfId="0" applyFont="1" applyFill="1" applyBorder="1" applyAlignment="1">
      <alignment horizontal="center" vertical="center" wrapText="1"/>
    </xf>
    <xf numFmtId="0" fontId="60" fillId="0" borderId="114" xfId="0" applyFont="1" applyFill="1" applyBorder="1" applyAlignment="1">
      <alignment horizontal="center" vertical="center" wrapText="1"/>
    </xf>
    <xf numFmtId="0" fontId="60" fillId="0" borderId="115" xfId="0" applyFont="1" applyFill="1" applyBorder="1" applyAlignment="1">
      <alignment horizontal="center" vertical="center" wrapText="1"/>
    </xf>
    <xf numFmtId="0" fontId="0" fillId="0" borderId="116" xfId="0" applyFont="1" applyBorder="1" applyAlignment="1">
      <alignment horizontal="center"/>
    </xf>
    <xf numFmtId="0" fontId="0" fillId="0" borderId="117" xfId="0" applyFont="1" applyBorder="1" applyAlignment="1">
      <alignment horizontal="center"/>
    </xf>
    <xf numFmtId="0" fontId="0" fillId="0" borderId="118" xfId="0" applyFont="1" applyBorder="1" applyAlignment="1">
      <alignment horizontal="center"/>
    </xf>
    <xf numFmtId="0" fontId="60" fillId="4" borderId="2" xfId="0" applyFont="1" applyFill="1" applyBorder="1" applyAlignment="1">
      <alignment horizontal="center" vertical="center" wrapText="1"/>
    </xf>
    <xf numFmtId="0" fontId="60" fillId="4" borderId="3" xfId="0" applyFont="1" applyFill="1" applyBorder="1" applyAlignment="1">
      <alignment horizontal="center" vertical="center" wrapText="1"/>
    </xf>
    <xf numFmtId="0" fontId="60" fillId="4" borderId="4" xfId="0" applyFont="1" applyFill="1" applyBorder="1" applyAlignment="1">
      <alignment horizontal="center" vertical="center" wrapText="1"/>
    </xf>
    <xf numFmtId="0" fontId="51" fillId="0" borderId="2" xfId="0" applyFont="1" applyFill="1" applyBorder="1" applyAlignment="1">
      <alignment horizontal="center" vertical="center"/>
    </xf>
    <xf numFmtId="0" fontId="51" fillId="0" borderId="3" xfId="0" applyFont="1" applyFill="1" applyBorder="1" applyAlignment="1">
      <alignment horizontal="center" vertical="center"/>
    </xf>
    <xf numFmtId="0" fontId="51" fillId="0" borderId="4" xfId="0" applyFont="1" applyFill="1" applyBorder="1" applyAlignment="1">
      <alignment horizontal="center" vertical="center"/>
    </xf>
    <xf numFmtId="0" fontId="16" fillId="0" borderId="2" xfId="0" applyFont="1" applyFill="1" applyBorder="1" applyAlignment="1">
      <alignment horizontal="center"/>
    </xf>
    <xf numFmtId="0" fontId="16" fillId="0" borderId="3" xfId="0" applyFont="1" applyFill="1" applyBorder="1" applyAlignment="1">
      <alignment horizontal="center"/>
    </xf>
    <xf numFmtId="0" fontId="16" fillId="0" borderId="4" xfId="0" applyFont="1" applyFill="1" applyBorder="1" applyAlignment="1">
      <alignment horizontal="center"/>
    </xf>
    <xf numFmtId="0" fontId="80" fillId="0" borderId="0" xfId="0" applyFont="1" applyFill="1" applyAlignment="1">
      <alignment horizontal="center"/>
    </xf>
    <xf numFmtId="0" fontId="51" fillId="0" borderId="1" xfId="0" applyFont="1" applyFill="1" applyBorder="1" applyAlignment="1">
      <alignment horizontal="center" vertical="center"/>
    </xf>
    <xf numFmtId="49" fontId="51" fillId="0" borderId="2" xfId="0" applyNumberFormat="1" applyFont="1" applyFill="1" applyBorder="1" applyAlignment="1">
      <alignment horizontal="center" vertical="center"/>
    </xf>
    <xf numFmtId="49" fontId="51" fillId="0" borderId="3" xfId="0" applyNumberFormat="1" applyFont="1" applyFill="1" applyBorder="1" applyAlignment="1">
      <alignment horizontal="center" vertical="center"/>
    </xf>
    <xf numFmtId="49" fontId="51" fillId="0" borderId="4" xfId="0" applyNumberFormat="1" applyFont="1" applyFill="1" applyBorder="1" applyAlignment="1">
      <alignment horizontal="center" vertical="center"/>
    </xf>
    <xf numFmtId="0" fontId="51" fillId="0" borderId="2" xfId="0" applyFont="1" applyFill="1" applyBorder="1" applyAlignment="1">
      <alignment horizontal="center" vertical="center" wrapText="1"/>
    </xf>
    <xf numFmtId="0" fontId="51" fillId="0" borderId="3" xfId="0"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0" fontId="51" fillId="0" borderId="7"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51" fillId="0" borderId="2" xfId="0" applyFont="1" applyFill="1" applyBorder="1" applyAlignment="1">
      <alignment horizontal="left" vertical="center" wrapText="1"/>
    </xf>
    <xf numFmtId="0" fontId="51" fillId="0" borderId="3" xfId="0" applyFont="1" applyFill="1" applyBorder="1" applyAlignment="1">
      <alignment horizontal="left" vertical="center"/>
    </xf>
    <xf numFmtId="0" fontId="51" fillId="0" borderId="4" xfId="0" applyFont="1" applyFill="1" applyBorder="1" applyAlignment="1">
      <alignment horizontal="left" vertical="center"/>
    </xf>
    <xf numFmtId="0" fontId="51" fillId="0" borderId="3" xfId="0" applyFont="1" applyFill="1" applyBorder="1" applyAlignment="1">
      <alignment horizontal="left" vertical="center" wrapText="1"/>
    </xf>
    <xf numFmtId="0" fontId="51" fillId="0" borderId="4" xfId="0" applyFont="1" applyFill="1" applyBorder="1" applyAlignment="1">
      <alignment horizontal="left" vertical="center" wrapText="1"/>
    </xf>
    <xf numFmtId="0" fontId="51" fillId="0" borderId="5" xfId="0" applyFont="1" applyFill="1" applyBorder="1" applyAlignment="1">
      <alignment vertical="center" wrapText="1"/>
    </xf>
    <xf numFmtId="0" fontId="51" fillId="0" borderId="9" xfId="0" applyFont="1" applyFill="1" applyBorder="1" applyAlignment="1">
      <alignment vertical="center" wrapText="1"/>
    </xf>
    <xf numFmtId="0" fontId="51" fillId="0" borderId="7" xfId="0" applyFont="1" applyFill="1" applyBorder="1" applyAlignment="1">
      <alignment vertical="center" wrapText="1"/>
    </xf>
    <xf numFmtId="0" fontId="51" fillId="0" borderId="10" xfId="0" applyFont="1" applyFill="1" applyBorder="1" applyAlignment="1">
      <alignment horizontal="center" vertical="center"/>
    </xf>
    <xf numFmtId="0" fontId="51" fillId="0" borderId="11" xfId="0" applyFont="1" applyFill="1" applyBorder="1" applyAlignment="1">
      <alignment horizontal="center" vertical="center"/>
    </xf>
    <xf numFmtId="0" fontId="51" fillId="0" borderId="12" xfId="0" applyFont="1" applyFill="1" applyBorder="1" applyAlignment="1">
      <alignment horizontal="center" vertical="center"/>
    </xf>
    <xf numFmtId="0" fontId="51" fillId="0" borderId="13" xfId="0" applyFont="1" applyFill="1" applyBorder="1" applyAlignment="1">
      <alignment horizontal="center" vertical="center"/>
    </xf>
    <xf numFmtId="0" fontId="51" fillId="0" borderId="0" xfId="0" applyFont="1" applyFill="1" applyBorder="1" applyAlignment="1">
      <alignment horizontal="center" vertical="center"/>
    </xf>
    <xf numFmtId="0" fontId="51" fillId="0" borderId="6" xfId="0" applyFont="1" applyFill="1" applyBorder="1" applyAlignment="1">
      <alignment horizontal="center" vertical="center"/>
    </xf>
    <xf numFmtId="0" fontId="51" fillId="0" borderId="14" xfId="0" applyFont="1" applyFill="1" applyBorder="1" applyAlignment="1">
      <alignment horizontal="center" vertical="center"/>
    </xf>
    <xf numFmtId="0" fontId="51" fillId="0" borderId="15" xfId="0" applyFont="1" applyFill="1" applyBorder="1" applyAlignment="1">
      <alignment horizontal="center" vertical="center"/>
    </xf>
    <xf numFmtId="0" fontId="51" fillId="0" borderId="8" xfId="0" applyFont="1" applyFill="1" applyBorder="1" applyAlignment="1">
      <alignment horizontal="center" vertical="center"/>
    </xf>
    <xf numFmtId="0" fontId="51" fillId="0" borderId="80" xfId="0" applyFont="1" applyFill="1" applyBorder="1" applyAlignment="1">
      <alignment vertical="center" wrapText="1"/>
    </xf>
    <xf numFmtId="0" fontId="51" fillId="0" borderId="81" xfId="0" applyFont="1" applyFill="1" applyBorder="1" applyAlignment="1">
      <alignment vertical="center" wrapText="1"/>
    </xf>
    <xf numFmtId="0" fontId="51" fillId="0" borderId="82" xfId="0" applyFont="1" applyFill="1" applyBorder="1" applyAlignment="1">
      <alignment vertical="center" wrapText="1"/>
    </xf>
    <xf numFmtId="0" fontId="51" fillId="0" borderId="22" xfId="0" applyFont="1" applyFill="1" applyBorder="1" applyAlignment="1">
      <alignment horizontal="center" vertical="center"/>
    </xf>
    <xf numFmtId="0" fontId="51" fillId="0" borderId="23" xfId="0" applyFont="1" applyFill="1" applyBorder="1" applyAlignment="1">
      <alignment horizontal="center" vertical="center"/>
    </xf>
    <xf numFmtId="0" fontId="51" fillId="0" borderId="25" xfId="0" applyFont="1" applyFill="1" applyBorder="1" applyAlignment="1">
      <alignment horizontal="center" vertical="center"/>
    </xf>
    <xf numFmtId="0" fontId="51" fillId="0" borderId="27" xfId="0" applyFont="1" applyFill="1" applyBorder="1" applyAlignment="1">
      <alignment horizontal="center" vertical="center"/>
    </xf>
    <xf numFmtId="0" fontId="51" fillId="0" borderId="28" xfId="0" applyFont="1" applyFill="1" applyBorder="1" applyAlignment="1">
      <alignment horizontal="center" vertical="center"/>
    </xf>
    <xf numFmtId="9" fontId="51" fillId="0" borderId="2" xfId="0" applyNumberFormat="1" applyFont="1" applyFill="1" applyBorder="1" applyAlignment="1">
      <alignment horizontal="center" vertical="center"/>
    </xf>
    <xf numFmtId="9" fontId="51" fillId="0" borderId="3" xfId="0" applyNumberFormat="1" applyFont="1" applyFill="1" applyBorder="1" applyAlignment="1">
      <alignment horizontal="center" vertical="center"/>
    </xf>
    <xf numFmtId="9" fontId="51" fillId="0" borderId="4" xfId="0" applyNumberFormat="1" applyFont="1" applyFill="1" applyBorder="1" applyAlignment="1">
      <alignment horizontal="center" vertical="center"/>
    </xf>
    <xf numFmtId="0" fontId="33" fillId="3" borderId="1" xfId="0" applyFont="1" applyFill="1" applyBorder="1" applyAlignment="1">
      <alignment horizontal="center" vertical="center"/>
    </xf>
    <xf numFmtId="0" fontId="32" fillId="0" borderId="2" xfId="0" applyFont="1" applyBorder="1" applyAlignment="1">
      <alignment horizontal="center"/>
    </xf>
    <xf numFmtId="0" fontId="32" fillId="0" borderId="3" xfId="0" applyFont="1" applyBorder="1" applyAlignment="1">
      <alignment horizontal="center"/>
    </xf>
    <xf numFmtId="0" fontId="32" fillId="0" borderId="4" xfId="0" applyFont="1" applyBorder="1" applyAlignment="1">
      <alignment horizontal="center"/>
    </xf>
    <xf numFmtId="0" fontId="33" fillId="3" borderId="2" xfId="0" applyFont="1" applyFill="1" applyBorder="1" applyAlignment="1">
      <alignment horizontal="center" vertical="center"/>
    </xf>
    <xf numFmtId="0" fontId="33" fillId="3" borderId="3" xfId="0" applyFont="1" applyFill="1" applyBorder="1" applyAlignment="1">
      <alignment horizontal="center" vertical="center"/>
    </xf>
    <xf numFmtId="0" fontId="33" fillId="3" borderId="4" xfId="0" applyFont="1" applyFill="1" applyBorder="1" applyAlignment="1">
      <alignment horizontal="center" vertical="center"/>
    </xf>
    <xf numFmtId="0" fontId="33" fillId="0" borderId="10"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8" xfId="0" applyFont="1" applyBorder="1" applyAlignment="1">
      <alignment horizontal="center" vertical="center" wrapText="1"/>
    </xf>
    <xf numFmtId="0" fontId="52" fillId="4" borderId="2" xfId="0" applyFont="1" applyFill="1" applyBorder="1" applyAlignment="1">
      <alignment horizontal="center" vertical="center"/>
    </xf>
    <xf numFmtId="0" fontId="52" fillId="4" borderId="3" xfId="0" applyFont="1" applyFill="1" applyBorder="1" applyAlignment="1">
      <alignment horizontal="center" vertical="center"/>
    </xf>
    <xf numFmtId="0" fontId="52" fillId="4" borderId="4" xfId="0" applyFont="1" applyFill="1" applyBorder="1" applyAlignment="1">
      <alignment horizontal="center" vertical="center"/>
    </xf>
    <xf numFmtId="0" fontId="33" fillId="3" borderId="2" xfId="0" applyFont="1" applyFill="1" applyBorder="1" applyAlignment="1">
      <alignment horizontal="center" vertical="top" wrapText="1"/>
    </xf>
    <xf numFmtId="0" fontId="33" fillId="3" borderId="3" xfId="0" applyFont="1" applyFill="1" applyBorder="1" applyAlignment="1">
      <alignment horizontal="center" vertical="top" wrapText="1"/>
    </xf>
    <xf numFmtId="0" fontId="33" fillId="3" borderId="4" xfId="0" applyFont="1" applyFill="1" applyBorder="1" applyAlignment="1">
      <alignment horizontal="center" vertical="top" wrapText="1"/>
    </xf>
    <xf numFmtId="0" fontId="32" fillId="3" borderId="3" xfId="0" applyNumberFormat="1" applyFont="1" applyFill="1" applyBorder="1" applyAlignment="1">
      <alignment horizontal="center" vertical="center"/>
    </xf>
    <xf numFmtId="0" fontId="32" fillId="3" borderId="4" xfId="0" applyNumberFormat="1" applyFont="1" applyFill="1" applyBorder="1" applyAlignment="1">
      <alignment horizontal="center" vertical="center"/>
    </xf>
    <xf numFmtId="0" fontId="32" fillId="3" borderId="93" xfId="0" applyFont="1" applyFill="1" applyBorder="1" applyAlignment="1">
      <alignment horizontal="left" vertical="center" wrapText="1"/>
    </xf>
    <xf numFmtId="0" fontId="32" fillId="3" borderId="94" xfId="0" applyFont="1" applyFill="1" applyBorder="1" applyAlignment="1">
      <alignment horizontal="left" vertical="center" wrapText="1"/>
    </xf>
    <xf numFmtId="0" fontId="32" fillId="3" borderId="95" xfId="0" applyFont="1" applyFill="1" applyBorder="1" applyAlignment="1">
      <alignment horizontal="left" vertical="center" wrapText="1"/>
    </xf>
    <xf numFmtId="0" fontId="32" fillId="3" borderId="100" xfId="0" applyFont="1" applyFill="1" applyBorder="1" applyAlignment="1">
      <alignment horizontal="center" vertical="center" wrapText="1"/>
    </xf>
    <xf numFmtId="0" fontId="32" fillId="3" borderId="78" xfId="0" applyFont="1" applyFill="1" applyBorder="1" applyAlignment="1">
      <alignment horizontal="center" vertical="center" wrapText="1"/>
    </xf>
    <xf numFmtId="0" fontId="32" fillId="3" borderId="101" xfId="0" applyFont="1" applyFill="1" applyBorder="1" applyAlignment="1">
      <alignment horizontal="center" vertical="center" wrapText="1"/>
    </xf>
    <xf numFmtId="0" fontId="51" fillId="0" borderId="85" xfId="0" applyFont="1" applyBorder="1" applyAlignment="1">
      <alignment horizontal="left" vertical="top" wrapText="1"/>
    </xf>
    <xf numFmtId="0" fontId="51" fillId="0" borderId="73" xfId="0" applyFont="1" applyBorder="1" applyAlignment="1">
      <alignment horizontal="left" vertical="top" wrapText="1"/>
    </xf>
    <xf numFmtId="0" fontId="51" fillId="0" borderId="74" xfId="0" applyFont="1" applyBorder="1" applyAlignment="1">
      <alignment horizontal="left" vertical="top" wrapText="1"/>
    </xf>
    <xf numFmtId="0" fontId="51" fillId="0" borderId="85" xfId="0" applyFont="1" applyBorder="1" applyAlignment="1">
      <alignment horizontal="center" vertical="top"/>
    </xf>
    <xf numFmtId="0" fontId="51" fillId="0" borderId="73" xfId="0" applyFont="1" applyBorder="1" applyAlignment="1">
      <alignment horizontal="center" vertical="top"/>
    </xf>
    <xf numFmtId="0" fontId="51" fillId="0" borderId="74" xfId="0" applyFont="1" applyBorder="1" applyAlignment="1">
      <alignment horizontal="center" vertical="top"/>
    </xf>
    <xf numFmtId="0" fontId="59" fillId="4" borderId="2" xfId="0" applyFont="1" applyFill="1" applyBorder="1" applyAlignment="1">
      <alignment horizontal="center" vertical="center"/>
    </xf>
    <xf numFmtId="0" fontId="59" fillId="4" borderId="3" xfId="0" applyFont="1" applyFill="1" applyBorder="1" applyAlignment="1">
      <alignment horizontal="center" vertical="center"/>
    </xf>
    <xf numFmtId="0" fontId="59" fillId="4" borderId="4" xfId="0" applyFont="1" applyFill="1" applyBorder="1" applyAlignment="1">
      <alignment horizontal="center" vertical="center"/>
    </xf>
    <xf numFmtId="0" fontId="59" fillId="3" borderId="2" xfId="0" applyFont="1" applyFill="1" applyBorder="1" applyAlignment="1">
      <alignment horizontal="left" vertical="center" wrapText="1"/>
    </xf>
    <xf numFmtId="0" fontId="59" fillId="3" borderId="3" xfId="0" applyFont="1" applyFill="1" applyBorder="1" applyAlignment="1">
      <alignment horizontal="left" vertical="center" wrapText="1"/>
    </xf>
    <xf numFmtId="0" fontId="59" fillId="3" borderId="4" xfId="0" applyFont="1" applyFill="1" applyBorder="1" applyAlignment="1">
      <alignment horizontal="left" vertical="center" wrapText="1"/>
    </xf>
    <xf numFmtId="0" fontId="33" fillId="4" borderId="2" xfId="0" applyFont="1" applyFill="1" applyBorder="1" applyAlignment="1">
      <alignment horizontal="left" vertical="center" wrapText="1"/>
    </xf>
    <xf numFmtId="0" fontId="33" fillId="4" borderId="3" xfId="0" applyFont="1" applyFill="1" applyBorder="1" applyAlignment="1">
      <alignment horizontal="left" vertical="center" wrapText="1"/>
    </xf>
    <xf numFmtId="0" fontId="33" fillId="4" borderId="4" xfId="0" applyFont="1" applyFill="1" applyBorder="1" applyAlignment="1">
      <alignment horizontal="left" vertical="center" wrapText="1"/>
    </xf>
    <xf numFmtId="0" fontId="32" fillId="0" borderId="10" xfId="0" applyFont="1" applyBorder="1" applyAlignment="1">
      <alignment horizontal="center" vertical="center"/>
    </xf>
    <xf numFmtId="0" fontId="32" fillId="0" borderId="13" xfId="0" applyFont="1" applyBorder="1" applyAlignment="1">
      <alignment horizontal="center" vertical="center"/>
    </xf>
    <xf numFmtId="0" fontId="32" fillId="0" borderId="14" xfId="0" applyFont="1" applyBorder="1" applyAlignment="1">
      <alignment horizontal="center" vertical="center"/>
    </xf>
    <xf numFmtId="0" fontId="32" fillId="4" borderId="2" xfId="0" applyFont="1" applyFill="1" applyBorder="1" applyAlignment="1">
      <alignment horizontal="center" wrapText="1"/>
    </xf>
    <xf numFmtId="0" fontId="32" fillId="4" borderId="3" xfId="0" applyFont="1" applyFill="1" applyBorder="1" applyAlignment="1">
      <alignment horizontal="center"/>
    </xf>
    <xf numFmtId="0" fontId="32" fillId="4" borderId="4" xfId="0" applyFont="1" applyFill="1" applyBorder="1" applyAlignment="1">
      <alignment horizontal="center"/>
    </xf>
    <xf numFmtId="0" fontId="8" fillId="4" borderId="3" xfId="0" applyFont="1" applyFill="1" applyBorder="1" applyAlignment="1">
      <alignment horizontal="center" vertical="center" wrapText="1"/>
    </xf>
    <xf numFmtId="9" fontId="32" fillId="0" borderId="2" xfId="0" applyNumberFormat="1" applyFont="1" applyFill="1" applyBorder="1" applyAlignment="1">
      <alignment horizontal="center" vertical="center" wrapText="1"/>
    </xf>
    <xf numFmtId="9" fontId="32" fillId="0" borderId="3" xfId="0" applyNumberFormat="1" applyFont="1" applyFill="1" applyBorder="1" applyAlignment="1">
      <alignment horizontal="center" vertical="center" wrapText="1"/>
    </xf>
    <xf numFmtId="9" fontId="32" fillId="0" borderId="4" xfId="0" applyNumberFormat="1" applyFont="1" applyFill="1" applyBorder="1" applyAlignment="1">
      <alignment horizontal="center" vertical="center" wrapText="1"/>
    </xf>
    <xf numFmtId="0" fontId="32" fillId="4" borderId="14" xfId="0" applyFont="1" applyFill="1" applyBorder="1" applyAlignment="1">
      <alignment horizontal="center" vertical="center" wrapText="1"/>
    </xf>
    <xf numFmtId="0" fontId="32" fillId="4" borderId="15" xfId="0" applyFont="1" applyFill="1" applyBorder="1" applyAlignment="1">
      <alignment horizontal="center" vertical="center" wrapText="1"/>
    </xf>
    <xf numFmtId="0" fontId="32" fillId="4" borderId="8" xfId="0" applyFont="1" applyFill="1" applyBorder="1" applyAlignment="1">
      <alignment horizontal="center" vertical="center" wrapText="1"/>
    </xf>
    <xf numFmtId="0" fontId="32" fillId="3" borderId="1" xfId="0" applyFont="1" applyFill="1" applyBorder="1" applyAlignment="1">
      <alignment horizontal="center" vertical="center" wrapText="1"/>
    </xf>
    <xf numFmtId="0" fontId="32" fillId="4" borderId="3" xfId="0" applyFont="1" applyFill="1" applyBorder="1" applyAlignment="1">
      <alignment horizontal="left" vertical="top" wrapText="1"/>
    </xf>
    <xf numFmtId="0" fontId="32" fillId="4" borderId="4" xfId="0" applyFont="1" applyFill="1" applyBorder="1" applyAlignment="1">
      <alignment horizontal="left" vertical="top"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5" fillId="3" borderId="1" xfId="0" applyFont="1" applyFill="1" applyBorder="1" applyAlignment="1">
      <alignment horizontal="center" vertical="center" wrapText="1"/>
    </xf>
    <xf numFmtId="49" fontId="5" fillId="3" borderId="2"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4" xfId="0" applyNumberFormat="1" applyFont="1" applyFill="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8" fillId="3" borderId="10"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8" xfId="0" applyFont="1" applyFill="1" applyBorder="1" applyAlignment="1">
      <alignment horizontal="center" vertical="center" wrapText="1"/>
    </xf>
    <xf numFmtId="9" fontId="6" fillId="4" borderId="2" xfId="0" applyNumberFormat="1" applyFont="1" applyFill="1" applyBorder="1" applyAlignment="1">
      <alignment horizontal="center" vertical="center"/>
    </xf>
    <xf numFmtId="9" fontId="6" fillId="4" borderId="3" xfId="0" applyNumberFormat="1" applyFont="1" applyFill="1" applyBorder="1" applyAlignment="1">
      <alignment horizontal="center" vertical="center"/>
    </xf>
    <xf numFmtId="9" fontId="6" fillId="4" borderId="4"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10" fillId="3" borderId="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40" fillId="0" borderId="10" xfId="0" applyFont="1" applyBorder="1" applyAlignment="1">
      <alignment horizontal="center" vertical="center" wrapText="1"/>
    </xf>
    <xf numFmtId="0" fontId="40" fillId="0" borderId="11"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13" xfId="0" applyFont="1" applyBorder="1" applyAlignment="1">
      <alignment horizontal="center" vertical="center" wrapText="1"/>
    </xf>
    <xf numFmtId="0" fontId="40" fillId="0" borderId="0"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14"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8" xfId="0" applyFont="1" applyBorder="1" applyAlignment="1">
      <alignment horizontal="center" vertical="center" wrapText="1"/>
    </xf>
    <xf numFmtId="0" fontId="40" fillId="4" borderId="3" xfId="0" applyFont="1" applyFill="1" applyBorder="1" applyAlignment="1">
      <alignment horizontal="center" vertical="center" wrapText="1"/>
    </xf>
    <xf numFmtId="0" fontId="40" fillId="4" borderId="3" xfId="0" applyFont="1" applyFill="1" applyBorder="1" applyAlignment="1">
      <alignment horizontal="center" vertical="center"/>
    </xf>
    <xf numFmtId="0" fontId="40" fillId="4" borderId="4" xfId="0" applyFont="1" applyFill="1" applyBorder="1" applyAlignment="1">
      <alignment horizontal="center" vertical="center"/>
    </xf>
    <xf numFmtId="168" fontId="6" fillId="3" borderId="2" xfId="0" applyNumberFormat="1" applyFont="1" applyFill="1" applyBorder="1" applyAlignment="1">
      <alignment horizontal="center" vertical="center"/>
    </xf>
    <xf numFmtId="168" fontId="6" fillId="3" borderId="3" xfId="0" applyNumberFormat="1" applyFont="1" applyFill="1" applyBorder="1" applyAlignment="1">
      <alignment horizontal="center" vertical="center"/>
    </xf>
    <xf numFmtId="168" fontId="6" fillId="3" borderId="4" xfId="0" applyNumberFormat="1" applyFont="1" applyFill="1" applyBorder="1" applyAlignment="1">
      <alignment horizontal="center" vertical="center"/>
    </xf>
    <xf numFmtId="0" fontId="36"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4" xfId="0" applyFont="1" applyBorder="1" applyAlignment="1">
      <alignment horizontal="center" vertical="center" wrapText="1"/>
    </xf>
    <xf numFmtId="0" fontId="36" fillId="4" borderId="2" xfId="0" applyFont="1" applyFill="1" applyBorder="1" applyAlignment="1">
      <alignment horizontal="center" vertical="center" wrapText="1"/>
    </xf>
    <xf numFmtId="0" fontId="36" fillId="4" borderId="3" xfId="0" applyFont="1" applyFill="1" applyBorder="1" applyAlignment="1">
      <alignment horizontal="center" vertical="center" wrapText="1"/>
    </xf>
    <xf numFmtId="0" fontId="36" fillId="4" borderId="4" xfId="0" applyFont="1" applyFill="1" applyBorder="1" applyAlignment="1">
      <alignment horizontal="center" vertical="center" wrapText="1"/>
    </xf>
    <xf numFmtId="0" fontId="32" fillId="4" borderId="2" xfId="0" applyFont="1" applyFill="1" applyBorder="1" applyAlignment="1">
      <alignment horizontal="justify" vertical="justify"/>
    </xf>
    <xf numFmtId="0" fontId="32" fillId="4" borderId="3" xfId="0" applyFont="1" applyFill="1" applyBorder="1" applyAlignment="1">
      <alignment horizontal="justify" vertical="justify"/>
    </xf>
    <xf numFmtId="0" fontId="32" fillId="4" borderId="4" xfId="0" applyFont="1" applyFill="1" applyBorder="1" applyAlignment="1">
      <alignment horizontal="justify" vertical="justify"/>
    </xf>
    <xf numFmtId="0" fontId="32" fillId="3" borderId="61" xfId="0" applyFont="1" applyFill="1" applyBorder="1" applyAlignment="1">
      <alignment vertical="center" wrapText="1"/>
    </xf>
    <xf numFmtId="0" fontId="32" fillId="3" borderId="68" xfId="0" applyFont="1" applyFill="1" applyBorder="1" applyAlignment="1">
      <alignment vertical="center" wrapText="1"/>
    </xf>
    <xf numFmtId="0" fontId="32" fillId="3" borderId="62" xfId="0" applyFont="1" applyFill="1" applyBorder="1" applyAlignment="1">
      <alignment vertical="center" wrapText="1"/>
    </xf>
    <xf numFmtId="0" fontId="32" fillId="3" borderId="35" xfId="0" applyFont="1" applyFill="1" applyBorder="1" applyAlignment="1">
      <alignment horizontal="center" vertical="center"/>
    </xf>
    <xf numFmtId="0" fontId="32" fillId="3" borderId="32" xfId="0" applyFont="1" applyFill="1" applyBorder="1" applyAlignment="1">
      <alignment horizontal="center" vertical="center"/>
    </xf>
    <xf numFmtId="0" fontId="32" fillId="3" borderId="30" xfId="0" applyFont="1" applyFill="1" applyBorder="1" applyAlignment="1">
      <alignment horizontal="center" vertical="center"/>
    </xf>
    <xf numFmtId="0" fontId="33" fillId="4" borderId="60" xfId="0" applyFont="1" applyFill="1" applyBorder="1" applyAlignment="1">
      <alignment horizontal="center" vertical="center"/>
    </xf>
    <xf numFmtId="0" fontId="33" fillId="4" borderId="34" xfId="0" applyFont="1" applyFill="1" applyBorder="1" applyAlignment="1">
      <alignment horizontal="center" vertical="center"/>
    </xf>
    <xf numFmtId="9" fontId="32" fillId="4" borderId="34" xfId="0" applyNumberFormat="1" applyFont="1" applyFill="1" applyBorder="1" applyAlignment="1">
      <alignment horizontal="center" vertical="center"/>
    </xf>
    <xf numFmtId="0" fontId="32" fillId="4" borderId="34" xfId="0" applyFont="1" applyFill="1" applyBorder="1" applyAlignment="1">
      <alignment horizontal="center" vertical="center"/>
    </xf>
    <xf numFmtId="0" fontId="32" fillId="0" borderId="2" xfId="0" applyFont="1" applyBorder="1" applyAlignment="1">
      <alignment horizontal="center" wrapText="1"/>
    </xf>
    <xf numFmtId="0" fontId="32" fillId="0" borderId="3" xfId="0" applyFont="1" applyBorder="1" applyAlignment="1">
      <alignment horizontal="center" wrapText="1"/>
    </xf>
    <xf numFmtId="0" fontId="32" fillId="0" borderId="34" xfId="0" applyFont="1" applyBorder="1" applyAlignment="1">
      <alignment horizontal="center" wrapText="1"/>
    </xf>
    <xf numFmtId="0" fontId="32" fillId="3" borderId="34" xfId="0" applyFont="1" applyFill="1" applyBorder="1" applyAlignment="1">
      <alignment horizontal="center" vertical="center"/>
    </xf>
    <xf numFmtId="0" fontId="32" fillId="3" borderId="61" xfId="0" applyFont="1" applyFill="1" applyBorder="1" applyAlignment="1">
      <alignment horizontal="center" vertical="center" wrapText="1"/>
    </xf>
    <xf numFmtId="0" fontId="32" fillId="3" borderId="62" xfId="0" applyFont="1" applyFill="1" applyBorder="1" applyAlignment="1">
      <alignment horizontal="center" vertical="center" wrapText="1"/>
    </xf>
    <xf numFmtId="0" fontId="16" fillId="4" borderId="60"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33" fillId="4" borderId="60" xfId="0" applyFont="1" applyFill="1" applyBorder="1" applyAlignment="1">
      <alignment horizontal="center" vertical="center" wrapText="1"/>
    </xf>
    <xf numFmtId="0" fontId="33" fillId="4" borderId="34" xfId="0" applyFont="1" applyFill="1" applyBorder="1" applyAlignment="1">
      <alignment horizontal="center" vertical="center" wrapText="1"/>
    </xf>
    <xf numFmtId="0" fontId="32" fillId="3" borderId="63" xfId="0" applyFont="1" applyFill="1" applyBorder="1" applyAlignment="1">
      <alignment vertical="center" wrapText="1"/>
    </xf>
    <xf numFmtId="0" fontId="32" fillId="3" borderId="69" xfId="0" applyFont="1" applyFill="1" applyBorder="1" applyAlignment="1">
      <alignment horizontal="center" vertical="center"/>
    </xf>
    <xf numFmtId="0" fontId="32" fillId="3" borderId="48" xfId="0" applyFont="1" applyFill="1" applyBorder="1" applyAlignment="1">
      <alignment horizontal="center" vertical="center"/>
    </xf>
    <xf numFmtId="0" fontId="32" fillId="3" borderId="49" xfId="0" applyFont="1" applyFill="1" applyBorder="1" applyAlignment="1">
      <alignment horizontal="center" vertical="center"/>
    </xf>
    <xf numFmtId="0" fontId="51" fillId="3" borderId="34" xfId="0" applyFont="1" applyFill="1" applyBorder="1" applyAlignment="1">
      <alignment horizontal="center" vertical="center" wrapText="1"/>
    </xf>
    <xf numFmtId="3" fontId="32" fillId="3" borderId="10" xfId="0" applyNumberFormat="1" applyFont="1" applyFill="1" applyBorder="1" applyAlignment="1">
      <alignment horizontal="center" vertical="center"/>
    </xf>
    <xf numFmtId="0" fontId="32" fillId="3" borderId="31" xfId="0" applyFont="1" applyFill="1" applyBorder="1" applyAlignment="1">
      <alignment horizontal="center" vertical="center"/>
    </xf>
    <xf numFmtId="0" fontId="32" fillId="3" borderId="58" xfId="0" applyFont="1" applyFill="1" applyBorder="1" applyAlignment="1">
      <alignment horizontal="center" vertical="center"/>
    </xf>
    <xf numFmtId="49" fontId="32" fillId="3" borderId="34" xfId="0" applyNumberFormat="1" applyFont="1" applyFill="1" applyBorder="1" applyAlignment="1">
      <alignment horizontal="center" vertical="center"/>
    </xf>
    <xf numFmtId="0" fontId="32" fillId="3" borderId="34" xfId="0" applyFont="1" applyFill="1" applyBorder="1" applyAlignment="1">
      <alignment horizontal="center" vertical="center" wrapText="1"/>
    </xf>
    <xf numFmtId="0" fontId="33" fillId="0" borderId="60" xfId="0" applyFont="1" applyBorder="1" applyAlignment="1">
      <alignment horizontal="center"/>
    </xf>
    <xf numFmtId="0" fontId="33" fillId="0" borderId="34" xfId="0" applyFont="1" applyBorder="1" applyAlignment="1">
      <alignment horizontal="center"/>
    </xf>
    <xf numFmtId="0" fontId="32" fillId="0" borderId="60" xfId="0" applyFont="1" applyBorder="1" applyAlignment="1">
      <alignment horizontal="left" wrapText="1"/>
    </xf>
    <xf numFmtId="0" fontId="32" fillId="0" borderId="3" xfId="0" applyFont="1" applyBorder="1" applyAlignment="1">
      <alignment horizontal="left" wrapText="1"/>
    </xf>
    <xf numFmtId="0" fontId="32" fillId="0" borderId="34" xfId="0" applyFont="1" applyBorder="1" applyAlignment="1">
      <alignment horizontal="left" wrapText="1"/>
    </xf>
    <xf numFmtId="0" fontId="32" fillId="4" borderId="34" xfId="0" applyFont="1" applyFill="1" applyBorder="1" applyAlignment="1">
      <alignment horizontal="left" vertical="center" wrapText="1"/>
    </xf>
    <xf numFmtId="0" fontId="32" fillId="3" borderId="60" xfId="0" applyFont="1" applyFill="1" applyBorder="1" applyAlignment="1">
      <alignment horizontal="center" vertical="center" wrapText="1"/>
    </xf>
    <xf numFmtId="0" fontId="9" fillId="5" borderId="7" xfId="0" applyFont="1" applyFill="1" applyBorder="1" applyAlignment="1">
      <alignment vertical="center" wrapText="1"/>
    </xf>
    <xf numFmtId="0" fontId="17" fillId="5" borderId="7" xfId="0" applyFont="1" applyFill="1" applyBorder="1" applyAlignment="1">
      <alignment vertical="center" wrapText="1"/>
    </xf>
    <xf numFmtId="3" fontId="18" fillId="5" borderId="8" xfId="0" applyNumberFormat="1" applyFont="1" applyFill="1" applyBorder="1" applyAlignment="1">
      <alignment horizontal="center" vertical="center"/>
    </xf>
    <xf numFmtId="165" fontId="18" fillId="5" borderId="8" xfId="0" applyNumberFormat="1" applyFont="1" applyFill="1" applyBorder="1" applyAlignment="1">
      <alignment horizontal="center" vertical="center"/>
    </xf>
  </cellXfs>
  <cellStyles count="8">
    <cellStyle name="Comma" xfId="7" builtinId="3"/>
    <cellStyle name="Comma 2" xfId="4"/>
    <cellStyle name="Comma 3" xfId="5"/>
    <cellStyle name="Comma 5" xfId="3"/>
    <cellStyle name="Normal" xfId="0" builtinId="0"/>
    <cellStyle name="Normal 3" xfId="2"/>
    <cellStyle name="Normal_Formati_permbledhese_Investimet 2007" xfId="6"/>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externalLink" Target="externalLinks/externalLink1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externalLink" Target="externalLinks/externalLink1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PBA%202019-2021/PBA%20Akademia%20e%20Shkencave/Akademia%20e%20Shkencave/2.%20Formatet_e_Raporteve_te_PBA_2019-2021_-_final%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PBA%20BRUNA/Copy%20of%20AMSHC%20Formatet_e_Raporteve_te_PBA_2019-2021_-_final%20(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PBA%20finale%20KDIMD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Analiza%20PBA%20FAZA%20I/ZABGJ/Raporte_te_PBA_2019-2021_Programi%20-_01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Analiza%20PBA%20FAZA%20I/ZABGJ/Raporte_te_PBA_2019-2021_Programi%20-_0331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manuela.xhelita/AppData/Local/Microsoft/Windows/INetCache/Content.Outlook/CYI64GH8/PBA%202019-2021/KMSHC/KMSHC%20PBA%20final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Analiza%20PBA%20FAZA%20I/KQZ/KQZ%20per%20publikim.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ina.dhaskali/AppData/Local/Microsoft/Windows/INetCache/Content.Outlook/IZQC8C6M/Autoriteti%20i%20Kokunrences_PBA%202019-2021%20-%20final%2030.4.201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emanuela.xhelita/AppData/Local/Microsoft/Windows/INetCache/Content.Outlook/CYI64GH8/PBA%202019-2021/Sekretariati%20Teknik%20i%20Keshilli%20i%20Kombetar%20te%20UJit/PBA%202019-2021%20Drafti%20final%20date%2008.05.2018%20(data%208.05.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emanuela.xhelita/AppData/Local/Microsoft/Windows/INetCache/Content.Outlook/CYI64GH8/PBA%202019-2021/Agjencis&#235;%20s&#235;%20Prokurimit%20Publik/PBA_2019-2021_APP%20_final.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BA%202019-2021\Agjencia%20e%20Zhvillimit%20te%20Territorit\Formatet_e_Raporteve_te_PBA_2019-2021_-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F.5. Investimet ne vazhdim"/>
      <sheetName val="F.6.Investime te reja"/>
    </sheetNames>
    <sheetDataSet>
      <sheetData sheetId="0"/>
      <sheetData sheetId="1">
        <row r="5">
          <cell r="D5" t="str">
            <v>Veprimtari Akademike</v>
          </cell>
        </row>
        <row r="20">
          <cell r="C20" t="str">
            <v>Projekte në kuadër të marreveshjeve te bashkepunimit me Akademite e Shkencave dhe Arteve ne Kroaci, Mal te Zi, Maqedoni dhe arbereshet e Italise</v>
          </cell>
        </row>
        <row r="21">
          <cell r="C21" t="str">
            <v>Projekte, ekspedita, Ligjerata te ndersjellta te akademikeve dhe botime ne fushat e strategjise rajonale per kerkim, zhvillim dhe inovacion</v>
          </cell>
        </row>
        <row r="22">
          <cell r="C22" t="str">
            <v>Rritja e bashkepunimit me Akademite perkatese dhe institucionet kerkimore dhe mesimore te ketyre vendeve ne kuader te bashkepunimit shkencor dhe artistik.</v>
          </cell>
        </row>
      </sheetData>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3 Politika te reja"/>
      <sheetName val="F.4. Alokimi i tavaneve per PE"/>
      <sheetName val="F.5. Investimet ne vazhdim"/>
      <sheetName val="F.6.Investime te reja"/>
    </sheetNames>
    <sheetDataSet>
      <sheetData sheetId="0"/>
      <sheetData sheetId="1">
        <row r="15">
          <cell r="C15" t="str">
            <v>Financim   dhe monitorim projektesh nga pikpamja e realizimit te aktiviteteve dhe dokumentave financiare</v>
          </cell>
        </row>
        <row r="17">
          <cell r="C17" t="str">
            <v xml:space="preserve">Asistence teknike e Shoqerise Civile ne vend permes realizimit te trajnimeve informuese, workshopeve, </v>
          </cell>
        </row>
      </sheetData>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1Politika Tavani (OK)"/>
      <sheetName val="Formati 2 Politika Ekzistuese k"/>
      <sheetName val="Formati 3 Politika te reja"/>
      <sheetName val="F.4. Alokimi i tavaneve per PE"/>
      <sheetName val="F.5. Investimet ne vazhdim"/>
      <sheetName val="F.6.Investime te reja"/>
      <sheetName val="Sheet1"/>
    </sheetNames>
    <sheetDataSet>
      <sheetData sheetId="0">
        <row r="7">
          <cell r="A7" t="str">
            <v>Planifikim-Menaxhim-Administrim</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Sheet1"/>
      <sheetName val="F.5. Investimet ne vazhdim"/>
      <sheetName val="F.6.Investime te reja"/>
    </sheetNames>
    <sheetDataSet>
      <sheetData sheetId="0"/>
      <sheetData sheetId="1">
        <row r="31">
          <cell r="D31">
            <v>29000</v>
          </cell>
          <cell r="E31">
            <v>32150</v>
          </cell>
          <cell r="F31">
            <v>33442</v>
          </cell>
          <cell r="G31">
            <v>33500</v>
          </cell>
        </row>
        <row r="39">
          <cell r="D39">
            <v>20000</v>
          </cell>
          <cell r="E39">
            <v>23000</v>
          </cell>
          <cell r="F39">
            <v>24142</v>
          </cell>
          <cell r="G39">
            <v>24000</v>
          </cell>
        </row>
        <row r="42">
          <cell r="D42">
            <v>4000</v>
          </cell>
          <cell r="E42">
            <v>4000</v>
          </cell>
          <cell r="F42">
            <v>4000</v>
          </cell>
          <cell r="G42">
            <v>4000</v>
          </cell>
        </row>
        <row r="45">
          <cell r="D45">
            <v>5000</v>
          </cell>
          <cell r="E45">
            <v>5150</v>
          </cell>
          <cell r="F45">
            <v>5300</v>
          </cell>
          <cell r="G45">
            <v>5500</v>
          </cell>
        </row>
        <row r="111">
          <cell r="D111">
            <v>700</v>
          </cell>
          <cell r="E111">
            <v>620</v>
          </cell>
          <cell r="F111">
            <v>750</v>
          </cell>
          <cell r="G111">
            <v>750</v>
          </cell>
        </row>
      </sheetData>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Sheet1"/>
      <sheetName val="F.5. Investimet ne vazhdim"/>
      <sheetName val="F.6.Investime te reja"/>
    </sheetNames>
    <sheetDataSet>
      <sheetData sheetId="0"/>
      <sheetData sheetId="1">
        <row r="28">
          <cell r="D28">
            <v>2111000</v>
          </cell>
        </row>
        <row r="143">
          <cell r="F143">
            <v>2690</v>
          </cell>
        </row>
        <row r="146">
          <cell r="F146">
            <v>0</v>
          </cell>
        </row>
        <row r="149">
          <cell r="F149">
            <v>0</v>
          </cell>
        </row>
        <row r="174">
          <cell r="F174" t="str">
            <v>Parashikimi</v>
          </cell>
          <cell r="G174" t="str">
            <v>Parashikimi</v>
          </cell>
        </row>
        <row r="175">
          <cell r="F175">
            <v>0</v>
          </cell>
          <cell r="G175">
            <v>0</v>
          </cell>
        </row>
      </sheetData>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Tavani (OK)"/>
      <sheetName val="Formati 2 Politika Ekzistuese"/>
      <sheetName val="Formati 3 Politika te reja"/>
      <sheetName val="F.4. Alokimi i tavaneve per PE"/>
      <sheetName val="F.5. Investimet ne vazhdim"/>
      <sheetName val="F.6.Investime te reja"/>
    </sheetNames>
    <sheetDataSet>
      <sheetData sheetId="0"/>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 011"/>
      <sheetName val="Formati 2 Politika Ekzi 01610"/>
      <sheetName val="Formati 2.1 Sipas Tavaneve"/>
      <sheetName val="Formati 3 Politika te reja"/>
      <sheetName val="F.4. Alokimi i tavaneve per PE"/>
      <sheetName val="Sheet1"/>
      <sheetName val="F.5. Investimet ne vazhdim"/>
      <sheetName val="F.6.Investime te reja"/>
    </sheetNames>
    <sheetDataSet>
      <sheetData sheetId="0"/>
      <sheetData sheetId="1">
        <row r="29">
          <cell r="D29">
            <v>33000</v>
          </cell>
          <cell r="E29">
            <v>33300</v>
          </cell>
          <cell r="F29">
            <v>33700</v>
          </cell>
          <cell r="G29">
            <v>34700</v>
          </cell>
        </row>
        <row r="43">
          <cell r="D43">
            <v>33000</v>
          </cell>
          <cell r="E43">
            <v>33300</v>
          </cell>
          <cell r="F43">
            <v>33700</v>
          </cell>
          <cell r="G43">
            <v>34700</v>
          </cell>
        </row>
        <row r="66">
          <cell r="D66">
            <v>71</v>
          </cell>
          <cell r="E66">
            <v>71</v>
          </cell>
          <cell r="F66">
            <v>71</v>
          </cell>
          <cell r="G66">
            <v>71</v>
          </cell>
        </row>
        <row r="69">
          <cell r="D69">
            <v>92300</v>
          </cell>
        </row>
        <row r="77">
          <cell r="D77">
            <v>78000</v>
          </cell>
        </row>
        <row r="80">
          <cell r="D80">
            <v>14300</v>
          </cell>
        </row>
        <row r="111">
          <cell r="D111">
            <v>10</v>
          </cell>
          <cell r="E111">
            <v>10</v>
          </cell>
          <cell r="F111">
            <v>10</v>
          </cell>
          <cell r="G111">
            <v>10</v>
          </cell>
        </row>
        <row r="112">
          <cell r="D112">
            <v>3000</v>
          </cell>
          <cell r="E112">
            <v>3000</v>
          </cell>
          <cell r="F112">
            <v>3000</v>
          </cell>
          <cell r="G112">
            <v>3000</v>
          </cell>
        </row>
        <row r="121">
          <cell r="D121">
            <v>3000</v>
          </cell>
          <cell r="E121">
            <v>3000</v>
          </cell>
          <cell r="F121">
            <v>3000</v>
          </cell>
          <cell r="G121">
            <v>3000</v>
          </cell>
        </row>
      </sheetData>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4. Alokimi i tavaneve per PE"/>
      <sheetName val="F.5. Investimet ne vazhdim"/>
      <sheetName val="F.6.Investime te reja"/>
      <sheetName val="Formati 3 Politika te reja"/>
    </sheetNames>
    <sheetDataSet>
      <sheetData sheetId="0">
        <row r="9">
          <cell r="C9" t="str">
            <v>MBIKËQYRJA E TREGUT DHE ADVOKACIA E KONKURRENCËS</v>
          </cell>
        </row>
      </sheetData>
      <sheetData sheetId="1">
        <row r="12">
          <cell r="D12" t="str">
            <v>Qëllimi i programit është sigurimi i rregullave të barabarta të konkurrencës mes ndërmarrjeve në treg për të siguruar lirinë ekonomike të sipërmarrësve dhe sa më shumë zgjedhje për konsumatorët. Ndërhyrja ndaj sjelljeve antikonkurruese si marrëveshjet e ndaluara dhe abuzimi me pozitën dominuese për të siguruar funksionimin e konkurrencës së lirë dhe efektive në treg.</v>
          </cell>
        </row>
        <row r="15">
          <cell r="C15" t="str">
            <v>Rritja e mundësisë së zgjedhjeve konsumatore(produkte dhe shërbime me cilësi të mirë dhe çmime të ulta</v>
          </cell>
          <cell r="D15">
            <v>0.5</v>
          </cell>
          <cell r="E15" t="str">
            <v>Trend rritës</v>
          </cell>
          <cell r="F15" t="str">
            <v>Trend rritës</v>
          </cell>
          <cell r="G15" t="str">
            <v>Trend rritës</v>
          </cell>
        </row>
        <row r="16">
          <cell r="C16" t="str">
            <v>Rritja e efiçencës së tregjeve nga performanca e ndërmarrjeve duke respektuar rregullat e konkurrencës</v>
          </cell>
          <cell r="D16">
            <v>0.4</v>
          </cell>
          <cell r="E16" t="str">
            <v>Trend rritës</v>
          </cell>
          <cell r="F16" t="str">
            <v>Trend rritës</v>
          </cell>
          <cell r="G16" t="str">
            <v>Trend rritës</v>
          </cell>
        </row>
        <row r="17">
          <cell r="C17" t="str">
            <v>Ndërgjegjësimi I ndërrmarrjeve dhe konsumatorëve për përfitimet që vinë nga konkurrenca</v>
          </cell>
          <cell r="D17">
            <v>0.45</v>
          </cell>
          <cell r="E17" t="str">
            <v>Trend rritës</v>
          </cell>
          <cell r="F17" t="str">
            <v>Trend rritës</v>
          </cell>
          <cell r="G17" t="str">
            <v>Trend rritës</v>
          </cell>
        </row>
        <row r="306">
          <cell r="E306">
            <v>0</v>
          </cell>
          <cell r="F306">
            <v>0</v>
          </cell>
          <cell r="G306">
            <v>0</v>
          </cell>
        </row>
      </sheetData>
      <sheetData sheetId="2"/>
      <sheetData sheetId="3"/>
      <sheetData sheetId="4"/>
      <sheetData sheetId="5"/>
      <sheetData sheetId="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F.5. Investimet ne vazhdim"/>
      <sheetName val="F.6.Investime te reja"/>
    </sheetNames>
    <sheetDataSet>
      <sheetData sheetId="0" refreshError="1"/>
      <sheetData sheetId="1" refreshError="1"/>
      <sheetData sheetId="2" refreshError="1">
        <row r="2">
          <cell r="C2" t="str">
            <v xml:space="preserve">FORMAT 2.1 : FORMATI STANDARD I PËRGATITJES SË KËRKESAVE BUXHETORE PBA 2019-2021 </v>
          </cell>
        </row>
        <row r="5">
          <cell r="C5" t="str">
            <v>Emërtimi i Programit Buxhetor</v>
          </cell>
          <cell r="D5" t="str">
            <v>Shpenzime te tjera</v>
          </cell>
        </row>
        <row r="6">
          <cell r="C6" t="str">
            <v>Kodi i Programit</v>
          </cell>
          <cell r="D6" t="str">
            <v>1150</v>
          </cell>
        </row>
        <row r="7">
          <cell r="C7" t="str">
            <v>Programi Buxhetor Afatmesëm</v>
          </cell>
          <cell r="D7" t="str">
            <v>2019-2021</v>
          </cell>
        </row>
        <row r="8">
          <cell r="C8" t="str">
            <v>Përshkrimi i Programit</v>
          </cell>
        </row>
        <row r="9">
          <cell r="C9" t="str">
            <v>Realizimi i politikave me qellim permiresimin e kuadrit ligjor konform kerkesave te direktivave te BE-se per sektorin  e ujit, forcimin e kuadrit institucional ne nivel kombetar dhe ne nivel baseni ujor dhe nderkufitar si dhe te sistemit fianaciar dhe informacionit ne teresi.</v>
          </cell>
        </row>
        <row r="11">
          <cell r="C11" t="str">
            <v>Qëllimet e Politikës së Programit</v>
          </cell>
          <cell r="D11" t="str">
            <v>Ngritja e një sistemi të integruar në sektorin e ujit si dhe monitorimi i funksionimi të këtij sistemit nepermjet marrëdhënieve te bashkëpunimit me institucione të ndryshme, me qëllim grumbullimin e informacioneve, shkëmbimin e ideve dhe eksperiencave, identifikimin e praktikave më të mira si në aspektin financiar dhe njerëzor gjithashtu.</v>
          </cell>
        </row>
        <row r="12">
          <cell r="C12" t="str">
            <v>Treguesit e Performancës në nivel Qëllimi*</v>
          </cell>
          <cell r="D12">
            <v>2018</v>
          </cell>
          <cell r="E12">
            <v>2019</v>
          </cell>
          <cell r="F12">
            <v>2020</v>
          </cell>
          <cell r="G12">
            <v>2021</v>
          </cell>
        </row>
        <row r="13">
          <cell r="D13" t="str">
            <v>Buxheti</v>
          </cell>
          <cell r="E13" t="str">
            <v>Parashikimi</v>
          </cell>
          <cell r="F13" t="str">
            <v>Parashikimi</v>
          </cell>
          <cell r="G13" t="str">
            <v>Parashikimi</v>
          </cell>
        </row>
        <row r="14">
          <cell r="C14" t="str">
            <v>Perqindja e rritjes se efikasitetit te perdorimit te fondeve buxhetore qe lidhen drejtperdrejt me sektorin e ujit</v>
          </cell>
          <cell r="D14">
            <v>1</v>
          </cell>
          <cell r="E14">
            <v>1</v>
          </cell>
          <cell r="F14">
            <v>1</v>
          </cell>
          <cell r="G14">
            <v>1</v>
          </cell>
        </row>
        <row r="15">
          <cell r="C15" t="str">
            <v>Niveli i perdorimit te sistemit te integruar te informacionit</v>
          </cell>
          <cell r="D15">
            <v>0.05</v>
          </cell>
          <cell r="E15">
            <v>0.15</v>
          </cell>
          <cell r="F15">
            <v>0.25</v>
          </cell>
          <cell r="G15">
            <v>0.3</v>
          </cell>
        </row>
        <row r="16">
          <cell r="C16" t="str">
            <v>Objektivi 1 i Politikës së Programit</v>
          </cell>
          <cell r="D16" t="str">
            <v xml:space="preserve">Optimizimi i menaxhimit të integruar të burimeve ujore në nivel kombëtar dhe nivel baseni ujor </v>
          </cell>
        </row>
        <row r="17">
          <cell r="C17" t="str">
            <v>Treguesit e Performancës për Objektivin 1**</v>
          </cell>
        </row>
        <row r="18">
          <cell r="C18" t="str">
            <v>Numri i dokumenteve politike dhe strategjike te miratuara</v>
          </cell>
          <cell r="D18">
            <v>2</v>
          </cell>
          <cell r="E18">
            <v>2</v>
          </cell>
          <cell r="F18">
            <v>2</v>
          </cell>
          <cell r="G18">
            <v>2</v>
          </cell>
        </row>
        <row r="19">
          <cell r="C19" t="str">
            <v>Numri i pikave te reduktuara të shfrytëzimit të paligjshëm të inerteve</v>
          </cell>
          <cell r="D19">
            <v>182</v>
          </cell>
          <cell r="E19">
            <v>80</v>
          </cell>
          <cell r="F19">
            <v>0</v>
          </cell>
          <cell r="G19">
            <v>0</v>
          </cell>
        </row>
        <row r="20">
          <cell r="C20" t="str">
            <v>Numri i puseve te formalizuara, te cilet perdorin ujerat nentoksore</v>
          </cell>
          <cell r="D20">
            <v>197</v>
          </cell>
          <cell r="E20">
            <v>25000</v>
          </cell>
          <cell r="F20">
            <v>50000</v>
          </cell>
          <cell r="G20">
            <v>60000</v>
          </cell>
        </row>
        <row r="21">
          <cell r="C21" t="str">
            <v xml:space="preserve">Numri i lejeve / autorizimeve te miratuara </v>
          </cell>
          <cell r="D21">
            <v>1000</v>
          </cell>
          <cell r="E21">
            <v>3000</v>
          </cell>
          <cell r="F21">
            <v>5000</v>
          </cell>
          <cell r="G21">
            <v>6000</v>
          </cell>
        </row>
        <row r="22">
          <cell r="C22" t="str">
            <v>Produktet për Objektivin 1</v>
          </cell>
        </row>
        <row r="23">
          <cell r="C23" t="str">
            <v>Shpenzimet Korrente</v>
          </cell>
        </row>
        <row r="24">
          <cell r="C24" t="str">
            <v>Produkti 1</v>
          </cell>
          <cell r="D24" t="str">
            <v xml:space="preserve">Mbeshtetja e KBU-ve/ABU ne procesin e vendimarrjes mbi perdorimin e burimeve ujore </v>
          </cell>
        </row>
        <row r="25">
          <cell r="C25" t="str">
            <v>Përshkrimi i Produktit:</v>
          </cell>
          <cell r="D25" t="str">
            <v>Sigurimi i mbeshtetjes se vazhdueshme te KBU-ve/ABU ne procesin e vendimarrjes mbi perdorimin e burimeve ujore me qellim miremanaxhimin e ketyre burimeve.</v>
          </cell>
        </row>
        <row r="26">
          <cell r="C26" t="str">
            <v>Njësia Matëse</v>
          </cell>
          <cell r="D26" t="str">
            <v>takime/konsultime</v>
          </cell>
        </row>
        <row r="27">
          <cell r="D27">
            <v>2018</v>
          </cell>
          <cell r="E27">
            <v>2019</v>
          </cell>
          <cell r="F27">
            <v>2020</v>
          </cell>
          <cell r="G27">
            <v>2021</v>
          </cell>
        </row>
        <row r="28">
          <cell r="D28" t="str">
            <v>Buxheti</v>
          </cell>
          <cell r="E28" t="str">
            <v>Parashikimi</v>
          </cell>
          <cell r="F28" t="str">
            <v>Parashikimi</v>
          </cell>
          <cell r="G28" t="str">
            <v>Parashikimi</v>
          </cell>
        </row>
        <row r="29">
          <cell r="C29" t="str">
            <v>Sasia</v>
          </cell>
        </row>
        <row r="30">
          <cell r="C30" t="str">
            <v>Kosto totale (në mijë lekë)</v>
          </cell>
          <cell r="D30">
            <v>8492</v>
          </cell>
          <cell r="E30">
            <v>8528</v>
          </cell>
          <cell r="F30">
            <v>8565.08</v>
          </cell>
          <cell r="G30">
            <v>8603.27</v>
          </cell>
        </row>
        <row r="31">
          <cell r="C31" t="str">
            <v>Kosto për njësi (në mijë lekë)</v>
          </cell>
          <cell r="D31" t="e">
            <v>#DIV/0!</v>
          </cell>
          <cell r="E31" t="e">
            <v>#DIV/0!</v>
          </cell>
          <cell r="F31" t="e">
            <v>#DIV/0!</v>
          </cell>
          <cell r="G31" t="e">
            <v>#DIV/0!</v>
          </cell>
        </row>
        <row r="32">
          <cell r="C32" t="str">
            <v xml:space="preserve">Ndryshimi në % i Sasisë  </v>
          </cell>
          <cell r="D32" t="str">
            <v>…</v>
          </cell>
          <cell r="E32" t="e">
            <v>#DIV/0!</v>
          </cell>
          <cell r="F32" t="e">
            <v>#DIV/0!</v>
          </cell>
          <cell r="G32" t="e">
            <v>#DIV/0!</v>
          </cell>
        </row>
        <row r="33">
          <cell r="C33" t="str">
            <v xml:space="preserve">Ndryshimi në % i kostos totale  </v>
          </cell>
          <cell r="D33" t="str">
            <v>…</v>
          </cell>
          <cell r="E33">
            <v>4.2392840320302216E-3</v>
          </cell>
          <cell r="F33">
            <v>4.3480300187617171E-3</v>
          </cell>
          <cell r="G33">
            <v>4.4588024863749798E-3</v>
          </cell>
        </row>
        <row r="34">
          <cell r="C34" t="str">
            <v>Ndryshimi në % i kostos për njësi</v>
          </cell>
          <cell r="D34" t="str">
            <v>…</v>
          </cell>
          <cell r="E34" t="e">
            <v>#DIV/0!</v>
          </cell>
          <cell r="F34" t="e">
            <v>#DIV/0!</v>
          </cell>
          <cell r="G34" t="e">
            <v>#DIV/0!</v>
          </cell>
        </row>
        <row r="35">
          <cell r="C35" t="str">
            <v>Detajimi i Kostos Totale të Produktit 1 sipas Artikujve Ekonomikë</v>
          </cell>
        </row>
        <row r="36">
          <cell r="D36">
            <v>2018</v>
          </cell>
          <cell r="E36">
            <v>2019</v>
          </cell>
          <cell r="F36">
            <v>2020</v>
          </cell>
          <cell r="G36">
            <v>2021</v>
          </cell>
        </row>
        <row r="37">
          <cell r="D37" t="str">
            <v>Buxheti</v>
          </cell>
          <cell r="E37" t="str">
            <v>Parashikimi</v>
          </cell>
          <cell r="F37" t="str">
            <v>Parashikimi</v>
          </cell>
          <cell r="G37" t="str">
            <v>Parashikimi</v>
          </cell>
        </row>
        <row r="38">
          <cell r="C38" t="str">
            <v xml:space="preserve">600. Pagat </v>
          </cell>
          <cell r="D38">
            <v>6415</v>
          </cell>
          <cell r="E38">
            <v>6415</v>
          </cell>
          <cell r="F38">
            <v>6415</v>
          </cell>
          <cell r="G38">
            <v>6415</v>
          </cell>
        </row>
        <row r="39">
          <cell r="C39" t="str">
            <v>601. Sigurimet Shoqërore dhe Shendetësore</v>
          </cell>
          <cell r="D39">
            <v>877</v>
          </cell>
          <cell r="E39">
            <v>877</v>
          </cell>
          <cell r="F39">
            <v>877</v>
          </cell>
          <cell r="G39">
            <v>877</v>
          </cell>
        </row>
        <row r="40">
          <cell r="C40" t="str">
            <v xml:space="preserve">602. Mallrat dhe shërbimet </v>
          </cell>
          <cell r="D40">
            <v>1200</v>
          </cell>
          <cell r="E40">
            <v>1236</v>
          </cell>
          <cell r="F40">
            <v>1273.08</v>
          </cell>
          <cell r="G40">
            <v>1311.2724000000001</v>
          </cell>
        </row>
        <row r="41">
          <cell r="C41" t="str">
            <v xml:space="preserve">603. Subvencionet </v>
          </cell>
          <cell r="D41">
            <v>0</v>
          </cell>
          <cell r="E41">
            <v>0</v>
          </cell>
          <cell r="F41">
            <v>0</v>
          </cell>
          <cell r="G41">
            <v>0</v>
          </cell>
        </row>
        <row r="42">
          <cell r="C42" t="str">
            <v>604. Transferta të brendshme</v>
          </cell>
          <cell r="D42">
            <v>0</v>
          </cell>
          <cell r="E42">
            <v>0</v>
          </cell>
          <cell r="F42">
            <v>0</v>
          </cell>
          <cell r="G42">
            <v>0</v>
          </cell>
        </row>
        <row r="43">
          <cell r="C43" t="str">
            <v>605. Transferta të jashtme</v>
          </cell>
          <cell r="D43">
            <v>0</v>
          </cell>
          <cell r="E43">
            <v>0</v>
          </cell>
          <cell r="F43">
            <v>0</v>
          </cell>
          <cell r="G43">
            <v>0</v>
          </cell>
        </row>
        <row r="44">
          <cell r="C44" t="str">
            <v xml:space="preserve">606. Transferta për familjet dhe individët </v>
          </cell>
          <cell r="D44">
            <v>0</v>
          </cell>
          <cell r="E44">
            <v>0</v>
          </cell>
          <cell r="F44">
            <v>0</v>
          </cell>
          <cell r="G44">
            <v>0</v>
          </cell>
        </row>
        <row r="45">
          <cell r="C45" t="str">
            <v>Kosto totale e produktit 1</v>
          </cell>
          <cell r="D45">
            <v>8492</v>
          </cell>
          <cell r="E45">
            <v>8528</v>
          </cell>
          <cell r="F45">
            <v>8565.08</v>
          </cell>
          <cell r="G45">
            <v>8603.2723999999998</v>
          </cell>
        </row>
        <row r="46">
          <cell r="C46" t="str">
            <v>Kontroll</v>
          </cell>
          <cell r="D46">
            <v>0</v>
          </cell>
          <cell r="E46">
            <v>0</v>
          </cell>
          <cell r="F46">
            <v>0</v>
          </cell>
          <cell r="G46" t="str">
            <v>Error</v>
          </cell>
        </row>
        <row r="47">
          <cell r="C47" t="str">
            <v>Produkti 2</v>
          </cell>
          <cell r="D47" t="str">
            <v xml:space="preserve"> Sistemi i integruar i informacionit mbi burimet ujore i populluar me te dhena per 6 basenet ujore </v>
          </cell>
        </row>
        <row r="48">
          <cell r="C48" t="str">
            <v>Përshkrimi i Produktit:</v>
          </cell>
          <cell r="D48" t="str">
            <v>Permiresimi i sistemit te integruar te informacionit me qellim perdorimin e te dhenave qe lidhen me burimet ujore nga te gjithe aktoret qe kane lidhje direkte ose indirekte me sektorin e ujit nepermejet angazhimit te strukturave ne nivel baseni ujor.</v>
          </cell>
        </row>
        <row r="49">
          <cell r="C49" t="str">
            <v>Njësia Matëse</v>
          </cell>
          <cell r="D49" t="str">
            <v>Sasia e informacionit te hedhur në %</v>
          </cell>
        </row>
        <row r="50">
          <cell r="C50" t="str">
            <v>Sasia</v>
          </cell>
        </row>
        <row r="51">
          <cell r="D51">
            <v>2018</v>
          </cell>
          <cell r="E51">
            <v>2019</v>
          </cell>
          <cell r="F51">
            <v>2020</v>
          </cell>
          <cell r="G51">
            <v>2021</v>
          </cell>
        </row>
        <row r="52">
          <cell r="D52" t="str">
            <v>Buxheti</v>
          </cell>
          <cell r="E52" t="str">
            <v>Parashikimi</v>
          </cell>
          <cell r="F52" t="str">
            <v>Parashikimi</v>
          </cell>
          <cell r="G52" t="str">
            <v>Parashikimi</v>
          </cell>
        </row>
        <row r="53">
          <cell r="C53" t="str">
            <v>Kosto totale (në mijë lekë)</v>
          </cell>
          <cell r="D53">
            <v>13385</v>
          </cell>
          <cell r="E53">
            <v>13445</v>
          </cell>
          <cell r="F53">
            <v>13506.8</v>
          </cell>
          <cell r="G53">
            <v>13570</v>
          </cell>
        </row>
        <row r="54">
          <cell r="C54" t="str">
            <v>Kosto për njësi (në mijë lekë)</v>
          </cell>
          <cell r="D54" t="e">
            <v>#DIV/0!</v>
          </cell>
          <cell r="E54" t="e">
            <v>#DIV/0!</v>
          </cell>
          <cell r="F54" t="e">
            <v>#DIV/0!</v>
          </cell>
          <cell r="G54" t="e">
            <v>#DIV/0!</v>
          </cell>
        </row>
        <row r="55">
          <cell r="C55" t="str">
            <v xml:space="preserve">Ndryshimi në % i Sasisë  </v>
          </cell>
          <cell r="E55" t="e">
            <v>#DIV/0!</v>
          </cell>
          <cell r="F55" t="e">
            <v>#DIV/0!</v>
          </cell>
          <cell r="G55" t="e">
            <v>#DIV/0!</v>
          </cell>
        </row>
        <row r="56">
          <cell r="C56" t="str">
            <v xml:space="preserve">Ndryshimi në % i kostos totale  </v>
          </cell>
          <cell r="E56">
            <v>4.4826298094882144E-3</v>
          </cell>
          <cell r="F56">
            <v>4.596504276682678E-3</v>
          </cell>
          <cell r="G56">
            <v>4.6791245890958066E-3</v>
          </cell>
        </row>
        <row r="57">
          <cell r="C57" t="str">
            <v>Ndryshimi në % i kostos për njësi</v>
          </cell>
          <cell r="E57" t="e">
            <v>#DIV/0!</v>
          </cell>
          <cell r="F57" t="e">
            <v>#DIV/0!</v>
          </cell>
          <cell r="G57" t="e">
            <v>#DIV/0!</v>
          </cell>
        </row>
        <row r="58">
          <cell r="C58" t="str">
            <v>Detajimi i Kostos Totale të Produktit 2 sipas Artikujve Ekonomikë</v>
          </cell>
        </row>
        <row r="59">
          <cell r="D59">
            <v>2018</v>
          </cell>
          <cell r="E59">
            <v>2019</v>
          </cell>
          <cell r="F59">
            <v>2020</v>
          </cell>
          <cell r="G59">
            <v>2021</v>
          </cell>
        </row>
        <row r="60">
          <cell r="D60" t="str">
            <v>Buxheti</v>
          </cell>
          <cell r="E60" t="str">
            <v>Parashikimi</v>
          </cell>
          <cell r="F60" t="str">
            <v>Parashikimi</v>
          </cell>
          <cell r="G60" t="str">
            <v>Parashikimi</v>
          </cell>
        </row>
        <row r="61">
          <cell r="C61" t="str">
            <v xml:space="preserve">600. Pagat </v>
          </cell>
          <cell r="D61">
            <v>9910</v>
          </cell>
          <cell r="E61">
            <v>9910</v>
          </cell>
          <cell r="F61">
            <v>9910</v>
          </cell>
          <cell r="G61">
            <v>9910</v>
          </cell>
        </row>
        <row r="62">
          <cell r="C62" t="str">
            <v>601. Sigurimet Shoqërore dhe Shendetësore</v>
          </cell>
          <cell r="D62">
            <v>1475</v>
          </cell>
          <cell r="E62">
            <v>1475</v>
          </cell>
          <cell r="F62">
            <v>1475</v>
          </cell>
          <cell r="G62">
            <v>1475</v>
          </cell>
        </row>
        <row r="63">
          <cell r="C63" t="str">
            <v xml:space="preserve">602. Mallrat dhe shërbimet </v>
          </cell>
          <cell r="D63">
            <v>2000</v>
          </cell>
          <cell r="E63">
            <v>2060</v>
          </cell>
          <cell r="F63">
            <v>2121.8000000000002</v>
          </cell>
          <cell r="G63">
            <v>2185.0040000000004</v>
          </cell>
        </row>
        <row r="64">
          <cell r="C64" t="str">
            <v xml:space="preserve">603. Subvencionet </v>
          </cell>
          <cell r="D64">
            <v>0</v>
          </cell>
          <cell r="E64">
            <v>0</v>
          </cell>
          <cell r="F64">
            <v>0</v>
          </cell>
          <cell r="G64">
            <v>0</v>
          </cell>
        </row>
        <row r="65">
          <cell r="C65" t="str">
            <v>604. Transferta të brendshme</v>
          </cell>
          <cell r="D65">
            <v>0</v>
          </cell>
          <cell r="E65">
            <v>0</v>
          </cell>
          <cell r="F65">
            <v>0</v>
          </cell>
          <cell r="G65">
            <v>0</v>
          </cell>
        </row>
        <row r="66">
          <cell r="C66" t="str">
            <v>605. Transferta të jashtme</v>
          </cell>
          <cell r="D66">
            <v>0</v>
          </cell>
          <cell r="E66">
            <v>0</v>
          </cell>
          <cell r="F66">
            <v>0</v>
          </cell>
          <cell r="G66">
            <v>0</v>
          </cell>
        </row>
        <row r="67">
          <cell r="C67" t="str">
            <v xml:space="preserve">606. Transferta për familjet dhe individët </v>
          </cell>
          <cell r="D67">
            <v>0</v>
          </cell>
          <cell r="E67">
            <v>0</v>
          </cell>
          <cell r="F67">
            <v>0</v>
          </cell>
          <cell r="G67">
            <v>0</v>
          </cell>
        </row>
        <row r="68">
          <cell r="C68" t="str">
            <v>Kosto totale e produktit 2</v>
          </cell>
          <cell r="D68">
            <v>13385</v>
          </cell>
          <cell r="E68">
            <v>13445</v>
          </cell>
          <cell r="F68">
            <v>13506.8</v>
          </cell>
          <cell r="G68">
            <v>13570</v>
          </cell>
        </row>
        <row r="69">
          <cell r="C69" t="str">
            <v>Kontroll</v>
          </cell>
          <cell r="D69">
            <v>0</v>
          </cell>
          <cell r="E69">
            <v>0</v>
          </cell>
          <cell r="F69">
            <v>0</v>
          </cell>
          <cell r="G69">
            <v>0</v>
          </cell>
        </row>
        <row r="70">
          <cell r="C70" t="str">
            <v>Produkti 3</v>
          </cell>
          <cell r="D70" t="str">
            <v>Inventari i perditesuar i informacionit financiar,  aseteve dhe burimeve njerezore te sektorit te ujit</v>
          </cell>
        </row>
        <row r="71">
          <cell r="C71" t="str">
            <v>Përshkrimi i Produktit:</v>
          </cell>
          <cell r="D71" t="str">
            <v>Perditesimi i vazhdueshem i informacionit financiar lidhur me investimet dhe projektet e ndryshme, i aseteve ne perdorim dhe i burimeve njerezore me qellim hartimin e politikave te qendrueshme per forcimin dhe menaxhim e integruar te burimeve ujore.</v>
          </cell>
        </row>
        <row r="72">
          <cell r="C72" t="str">
            <v>Njësia Matëse</v>
          </cell>
          <cell r="D72" t="str">
            <v>Sasia e informacionit i shpehur në %</v>
          </cell>
        </row>
        <row r="73">
          <cell r="C73" t="str">
            <v>Sasia</v>
          </cell>
        </row>
        <row r="74">
          <cell r="D74">
            <v>2018</v>
          </cell>
          <cell r="E74">
            <v>2019</v>
          </cell>
          <cell r="F74">
            <v>2020</v>
          </cell>
          <cell r="G74">
            <v>2021</v>
          </cell>
        </row>
        <row r="75">
          <cell r="D75" t="str">
            <v>Buxheti</v>
          </cell>
          <cell r="E75" t="str">
            <v>Parashikimi</v>
          </cell>
          <cell r="F75" t="str">
            <v>Parashikimi</v>
          </cell>
          <cell r="G75" t="str">
            <v>Parashikimi</v>
          </cell>
        </row>
        <row r="76">
          <cell r="C76" t="str">
            <v>Kosto totale (në mijë lekë)</v>
          </cell>
          <cell r="D76">
            <v>3851</v>
          </cell>
          <cell r="E76">
            <v>3869</v>
          </cell>
          <cell r="F76">
            <v>3887.54</v>
          </cell>
          <cell r="G76">
            <v>3907</v>
          </cell>
        </row>
        <row r="77">
          <cell r="C77" t="str">
            <v>Kosto për njësi (në mijë lekë)</v>
          </cell>
          <cell r="D77" t="e">
            <v>#DIV/0!</v>
          </cell>
          <cell r="E77" t="e">
            <v>#DIV/0!</v>
          </cell>
          <cell r="F77" t="e">
            <v>#DIV/0!</v>
          </cell>
          <cell r="G77" t="e">
            <v>#DIV/0!</v>
          </cell>
        </row>
        <row r="78">
          <cell r="C78" t="str">
            <v xml:space="preserve">Ndryshimi në % i Sasisë  </v>
          </cell>
          <cell r="E78" t="e">
            <v>#DIV/0!</v>
          </cell>
          <cell r="F78" t="e">
            <v>#DIV/0!</v>
          </cell>
          <cell r="G78" t="e">
            <v>#DIV/0!</v>
          </cell>
        </row>
        <row r="79">
          <cell r="C79" t="str">
            <v xml:space="preserve">Ndryshimi në % i kostos totale  </v>
          </cell>
          <cell r="E79">
            <v>4.674110620618066E-3</v>
          </cell>
          <cell r="F79">
            <v>4.7919359007495554E-3</v>
          </cell>
          <cell r="G79">
            <v>5.0057362753823664E-3</v>
          </cell>
        </row>
        <row r="80">
          <cell r="C80" t="str">
            <v>Ndryshimi në % i kostos për njësi</v>
          </cell>
          <cell r="E80" t="e">
            <v>#DIV/0!</v>
          </cell>
          <cell r="F80" t="e">
            <v>#DIV/0!</v>
          </cell>
          <cell r="G80" t="e">
            <v>#DIV/0!</v>
          </cell>
        </row>
        <row r="81">
          <cell r="C81" t="str">
            <v>Detajimi i Kostos Totale të Produktit 3 sipas Artikujve Ekonomikë</v>
          </cell>
        </row>
        <row r="82">
          <cell r="D82">
            <v>2018</v>
          </cell>
          <cell r="E82">
            <v>2019</v>
          </cell>
          <cell r="F82">
            <v>2020</v>
          </cell>
          <cell r="G82">
            <v>2021</v>
          </cell>
        </row>
        <row r="83">
          <cell r="D83" t="str">
            <v>Buxheti</v>
          </cell>
          <cell r="E83" t="str">
            <v>Parashikimi</v>
          </cell>
          <cell r="F83" t="str">
            <v>Parashikimi</v>
          </cell>
          <cell r="G83" t="str">
            <v>Parashikimi</v>
          </cell>
        </row>
        <row r="84">
          <cell r="C84" t="str">
            <v xml:space="preserve">600. Pagat </v>
          </cell>
          <cell r="D84">
            <v>2860</v>
          </cell>
          <cell r="E84">
            <v>2860</v>
          </cell>
          <cell r="F84">
            <v>2860</v>
          </cell>
          <cell r="G84">
            <v>2860</v>
          </cell>
        </row>
        <row r="85">
          <cell r="C85" t="str">
            <v>601. Sigurimet Shoqërore dhe Shendetësore</v>
          </cell>
          <cell r="D85">
            <v>391</v>
          </cell>
          <cell r="E85">
            <v>391</v>
          </cell>
          <cell r="F85">
            <v>391</v>
          </cell>
          <cell r="G85">
            <v>391</v>
          </cell>
        </row>
        <row r="86">
          <cell r="C86" t="str">
            <v xml:space="preserve">602. Mallrat dhe shërbimet </v>
          </cell>
          <cell r="D86">
            <v>600</v>
          </cell>
          <cell r="E86">
            <v>618</v>
          </cell>
          <cell r="F86">
            <v>636.54</v>
          </cell>
          <cell r="G86">
            <v>655.63620000000003</v>
          </cell>
        </row>
        <row r="87">
          <cell r="C87" t="str">
            <v xml:space="preserve">603. Subvencionet </v>
          </cell>
          <cell r="D87">
            <v>0</v>
          </cell>
          <cell r="E87">
            <v>0</v>
          </cell>
          <cell r="F87">
            <v>0</v>
          </cell>
          <cell r="G87">
            <v>0</v>
          </cell>
        </row>
        <row r="88">
          <cell r="C88" t="str">
            <v>604. Transferta të brendshme</v>
          </cell>
          <cell r="D88">
            <v>0</v>
          </cell>
          <cell r="E88">
            <v>0</v>
          </cell>
          <cell r="F88">
            <v>0</v>
          </cell>
          <cell r="G88">
            <v>0</v>
          </cell>
        </row>
        <row r="89">
          <cell r="C89" t="str">
            <v>605. Transferta të jashtme</v>
          </cell>
          <cell r="D89">
            <v>0</v>
          </cell>
          <cell r="E89">
            <v>0</v>
          </cell>
          <cell r="F89">
            <v>0</v>
          </cell>
          <cell r="G89">
            <v>0</v>
          </cell>
        </row>
        <row r="90">
          <cell r="C90" t="str">
            <v xml:space="preserve">606. Transferta për familjet dhe individët </v>
          </cell>
          <cell r="D90">
            <v>0</v>
          </cell>
          <cell r="E90">
            <v>0</v>
          </cell>
          <cell r="F90">
            <v>0</v>
          </cell>
          <cell r="G90">
            <v>0</v>
          </cell>
        </row>
        <row r="91">
          <cell r="C91" t="str">
            <v>Kosto totale e produktit 3</v>
          </cell>
          <cell r="D91">
            <v>3851</v>
          </cell>
          <cell r="E91">
            <v>3869</v>
          </cell>
          <cell r="F91">
            <v>3887.54</v>
          </cell>
          <cell r="G91">
            <v>3907</v>
          </cell>
        </row>
        <row r="92">
          <cell r="C92" t="str">
            <v>Kontroll</v>
          </cell>
          <cell r="D92">
            <v>0</v>
          </cell>
          <cell r="E92">
            <v>0</v>
          </cell>
          <cell r="F92">
            <v>0</v>
          </cell>
          <cell r="G92">
            <v>0</v>
          </cell>
        </row>
        <row r="93">
          <cell r="C93" t="str">
            <v>Produkti 4</v>
          </cell>
          <cell r="D93" t="str">
            <v>Mareveshjet nderkufitare me vendet fqinje per burimet e perbashketa ujore te nenshkruara dhe te miratuara</v>
          </cell>
        </row>
        <row r="94">
          <cell r="C94" t="str">
            <v>Përshkrimi i Produktit:</v>
          </cell>
          <cell r="D94" t="str">
            <v>Permiresimi I menaxhimit te burimeve ujore ne nivel nderkufitar ne bashkepunim me vendet fqinje  nepermjet zbatimit te kuadrit lgjor europian dhe konventave ndekombetare</v>
          </cell>
        </row>
        <row r="95">
          <cell r="C95" t="str">
            <v>Njësia Matëse</v>
          </cell>
          <cell r="D95" t="str">
            <v>Numer takimesh</v>
          </cell>
        </row>
        <row r="96">
          <cell r="C96" t="str">
            <v>Sasia</v>
          </cell>
        </row>
        <row r="97">
          <cell r="D97">
            <v>2018</v>
          </cell>
          <cell r="E97">
            <v>2019</v>
          </cell>
          <cell r="F97">
            <v>2020</v>
          </cell>
          <cell r="G97">
            <v>2021</v>
          </cell>
        </row>
        <row r="98">
          <cell r="D98" t="str">
            <v>Buxheti</v>
          </cell>
          <cell r="E98" t="str">
            <v>Parashikimi</v>
          </cell>
          <cell r="F98" t="str">
            <v>Parashikimi</v>
          </cell>
          <cell r="G98" t="str">
            <v>Parashikimi</v>
          </cell>
        </row>
        <row r="99">
          <cell r="C99" t="str">
            <v>Kosto totale (në mijë lekë)</v>
          </cell>
          <cell r="D99">
            <v>8493</v>
          </cell>
          <cell r="E99">
            <v>8529</v>
          </cell>
          <cell r="F99">
            <v>8566.08</v>
          </cell>
          <cell r="G99">
            <v>8604</v>
          </cell>
        </row>
        <row r="100">
          <cell r="C100" t="str">
            <v>Kosto për njësi (në mijë lekë)</v>
          </cell>
          <cell r="D100" t="e">
            <v>#DIV/0!</v>
          </cell>
          <cell r="E100" t="e">
            <v>#DIV/0!</v>
          </cell>
          <cell r="F100" t="e">
            <v>#DIV/0!</v>
          </cell>
          <cell r="G100" t="e">
            <v>#DIV/0!</v>
          </cell>
        </row>
        <row r="101">
          <cell r="C101" t="str">
            <v xml:space="preserve">Ndryshimi në % i Sasisë  </v>
          </cell>
          <cell r="E101" t="e">
            <v>#DIV/0!</v>
          </cell>
          <cell r="F101" t="e">
            <v>#DIV/0!</v>
          </cell>
          <cell r="G101" t="e">
            <v>#DIV/0!</v>
          </cell>
        </row>
        <row r="102">
          <cell r="C102" t="str">
            <v xml:space="preserve">Ndryshimi në % i kostos totale  </v>
          </cell>
          <cell r="E102">
            <v>4.2387848816671791E-3</v>
          </cell>
          <cell r="F102">
            <v>4.3475202251141987E-3</v>
          </cell>
          <cell r="G102">
            <v>4.42676229967498E-3</v>
          </cell>
        </row>
        <row r="103">
          <cell r="C103" t="str">
            <v>Ndryshimi në % i kostos për njësi</v>
          </cell>
          <cell r="E103" t="e">
            <v>#DIV/0!</v>
          </cell>
          <cell r="F103" t="e">
            <v>#DIV/0!</v>
          </cell>
          <cell r="G103" t="e">
            <v>#DIV/0!</v>
          </cell>
        </row>
        <row r="104">
          <cell r="C104" t="str">
            <v>Detajimi i Kostos Totale të Produktit 4 sipas Artikujve Ekonomikë</v>
          </cell>
        </row>
        <row r="105">
          <cell r="D105">
            <v>2018</v>
          </cell>
          <cell r="E105">
            <v>2019</v>
          </cell>
          <cell r="F105">
            <v>2020</v>
          </cell>
          <cell r="G105">
            <v>2021</v>
          </cell>
        </row>
        <row r="106">
          <cell r="D106" t="str">
            <v>Buxheti</v>
          </cell>
          <cell r="E106" t="str">
            <v>Parashikimi</v>
          </cell>
          <cell r="F106" t="str">
            <v>Parashikimi</v>
          </cell>
          <cell r="G106" t="str">
            <v>Parashikimi</v>
          </cell>
        </row>
        <row r="107">
          <cell r="C107" t="str">
            <v xml:space="preserve">600. Pagat </v>
          </cell>
          <cell r="D107">
            <v>6415</v>
          </cell>
          <cell r="E107">
            <v>6415</v>
          </cell>
          <cell r="F107">
            <v>6415</v>
          </cell>
          <cell r="G107">
            <v>6415</v>
          </cell>
        </row>
        <row r="108">
          <cell r="C108" t="str">
            <v>601. Sigurimet Shoqërore dhe Shendetësore</v>
          </cell>
          <cell r="D108">
            <v>878</v>
          </cell>
          <cell r="E108">
            <v>878</v>
          </cell>
          <cell r="F108">
            <v>878</v>
          </cell>
          <cell r="G108">
            <v>878</v>
          </cell>
        </row>
        <row r="109">
          <cell r="C109" t="str">
            <v xml:space="preserve">602. Mallrat dhe shërbimet </v>
          </cell>
          <cell r="D109">
            <v>1200</v>
          </cell>
          <cell r="E109">
            <v>1236</v>
          </cell>
          <cell r="F109">
            <v>1273.08</v>
          </cell>
          <cell r="G109">
            <v>1311.2724000000001</v>
          </cell>
        </row>
        <row r="110">
          <cell r="C110" t="str">
            <v xml:space="preserve">603. Subvencionet </v>
          </cell>
          <cell r="D110">
            <v>0</v>
          </cell>
          <cell r="E110">
            <v>0</v>
          </cell>
          <cell r="F110">
            <v>0</v>
          </cell>
          <cell r="G110">
            <v>0</v>
          </cell>
        </row>
        <row r="111">
          <cell r="C111" t="str">
            <v>604. Transferta të brendshme</v>
          </cell>
          <cell r="D111">
            <v>0</v>
          </cell>
          <cell r="E111">
            <v>0</v>
          </cell>
          <cell r="F111">
            <v>0</v>
          </cell>
          <cell r="G111">
            <v>0</v>
          </cell>
        </row>
        <row r="112">
          <cell r="C112" t="str">
            <v>605. Transferta të jashtme</v>
          </cell>
          <cell r="D112">
            <v>0</v>
          </cell>
          <cell r="E112">
            <v>0</v>
          </cell>
          <cell r="F112">
            <v>0</v>
          </cell>
          <cell r="G112">
            <v>0</v>
          </cell>
        </row>
        <row r="113">
          <cell r="C113" t="str">
            <v xml:space="preserve">606. Transferta për familjet dhe individët </v>
          </cell>
          <cell r="D113">
            <v>0</v>
          </cell>
          <cell r="E113">
            <v>0</v>
          </cell>
          <cell r="F113">
            <v>0</v>
          </cell>
          <cell r="G113">
            <v>0</v>
          </cell>
        </row>
        <row r="114">
          <cell r="C114" t="str">
            <v>Kosto totale e produktit 4</v>
          </cell>
          <cell r="D114">
            <v>8493</v>
          </cell>
          <cell r="E114">
            <v>8529</v>
          </cell>
          <cell r="F114">
            <v>8566.08</v>
          </cell>
          <cell r="G114">
            <v>8604</v>
          </cell>
        </row>
        <row r="115">
          <cell r="C115" t="str">
            <v>Kontroll</v>
          </cell>
          <cell r="D115">
            <v>0</v>
          </cell>
          <cell r="E115">
            <v>0</v>
          </cell>
          <cell r="F115">
            <v>0</v>
          </cell>
          <cell r="G115">
            <v>0</v>
          </cell>
        </row>
        <row r="117">
          <cell r="C117" t="str">
            <v>Shpenzimet Kapitale</v>
          </cell>
        </row>
        <row r="118">
          <cell r="C118" t="str">
            <v>Kategoria 1: Shpenzimet Administrative Kapitale</v>
          </cell>
        </row>
        <row r="119">
          <cell r="C119" t="str">
            <v>Kodi i Projektit të Investimeve****</v>
          </cell>
          <cell r="D119" t="str">
            <v>Emërtimi i Projektit të Investimeve</v>
          </cell>
        </row>
        <row r="120">
          <cell r="C120" t="str">
            <v>Produkti 1</v>
          </cell>
          <cell r="D120">
            <v>0</v>
          </cell>
        </row>
        <row r="121">
          <cell r="C121" t="str">
            <v>Përshkrimi i Produktit:</v>
          </cell>
          <cell r="D121">
            <v>0</v>
          </cell>
        </row>
        <row r="122">
          <cell r="C122" t="str">
            <v>Njësia Matëse</v>
          </cell>
          <cell r="D122">
            <v>0</v>
          </cell>
        </row>
        <row r="123">
          <cell r="D123">
            <v>2018</v>
          </cell>
          <cell r="E123">
            <v>2019</v>
          </cell>
          <cell r="F123">
            <v>2020</v>
          </cell>
          <cell r="G123">
            <v>2021</v>
          </cell>
        </row>
        <row r="124">
          <cell r="D124" t="str">
            <v>Buxheti</v>
          </cell>
          <cell r="E124" t="str">
            <v>Parashikimi</v>
          </cell>
          <cell r="F124" t="str">
            <v>Parashikimi</v>
          </cell>
          <cell r="G124" t="str">
            <v>Parashikimi</v>
          </cell>
        </row>
        <row r="125">
          <cell r="C125" t="str">
            <v>Sasia</v>
          </cell>
          <cell r="D125">
            <v>0</v>
          </cell>
          <cell r="E125">
            <v>0</v>
          </cell>
          <cell r="F125">
            <v>0</v>
          </cell>
          <cell r="G125">
            <v>0</v>
          </cell>
        </row>
        <row r="126">
          <cell r="C126" t="str">
            <v>Kosto totale (në mijë lekë)</v>
          </cell>
          <cell r="D126">
            <v>0</v>
          </cell>
          <cell r="E126">
            <v>0</v>
          </cell>
          <cell r="F126">
            <v>0</v>
          </cell>
          <cell r="G126">
            <v>0</v>
          </cell>
        </row>
        <row r="127">
          <cell r="C127" t="str">
            <v>Kosto për njësi (në mijë lekë)</v>
          </cell>
          <cell r="D127" t="e">
            <v>#DIV/0!</v>
          </cell>
          <cell r="E127" t="e">
            <v>#DIV/0!</v>
          </cell>
          <cell r="F127" t="e">
            <v>#DIV/0!</v>
          </cell>
          <cell r="G127" t="e">
            <v>#DIV/0!</v>
          </cell>
        </row>
        <row r="128">
          <cell r="C128" t="str">
            <v xml:space="preserve">Ndryshimi në % i Sasisë  </v>
          </cell>
          <cell r="D128" t="str">
            <v>…</v>
          </cell>
          <cell r="E128" t="e">
            <v>#DIV/0!</v>
          </cell>
          <cell r="F128" t="e">
            <v>#DIV/0!</v>
          </cell>
          <cell r="G128" t="e">
            <v>#DIV/0!</v>
          </cell>
        </row>
        <row r="129">
          <cell r="C129" t="str">
            <v xml:space="preserve">Ndryshimi në % i kostos totale  </v>
          </cell>
          <cell r="D129" t="str">
            <v>…</v>
          </cell>
          <cell r="E129" t="e">
            <v>#DIV/0!</v>
          </cell>
          <cell r="F129" t="e">
            <v>#DIV/0!</v>
          </cell>
          <cell r="G129" t="e">
            <v>#DIV/0!</v>
          </cell>
        </row>
        <row r="130">
          <cell r="C130" t="str">
            <v>Ndryshimi në % i kostos për njësi</v>
          </cell>
          <cell r="D130" t="str">
            <v>…</v>
          </cell>
          <cell r="E130" t="e">
            <v>#DIV/0!</v>
          </cell>
          <cell r="F130" t="e">
            <v>#DIV/0!</v>
          </cell>
          <cell r="G130" t="e">
            <v>#DIV/0!</v>
          </cell>
        </row>
        <row r="131">
          <cell r="C131" t="str">
            <v>Detajimi i Kostos Totale të Produktit 1 sipas Artikujve Ekonomikë</v>
          </cell>
        </row>
        <row r="132">
          <cell r="D132">
            <v>2018</v>
          </cell>
          <cell r="E132">
            <v>2019</v>
          </cell>
          <cell r="F132">
            <v>2020</v>
          </cell>
          <cell r="G132">
            <v>2021</v>
          </cell>
        </row>
        <row r="133">
          <cell r="D133" t="str">
            <v>Buxheti</v>
          </cell>
          <cell r="E133" t="str">
            <v>Parashikimi</v>
          </cell>
          <cell r="F133" t="str">
            <v>Parashikimi</v>
          </cell>
          <cell r="G133" t="str">
            <v>Parashikimi</v>
          </cell>
        </row>
        <row r="134">
          <cell r="C134" t="str">
            <v xml:space="preserve">230. Aktive të patrupëzuara </v>
          </cell>
          <cell r="D134">
            <v>0</v>
          </cell>
          <cell r="E134">
            <v>0</v>
          </cell>
          <cell r="F134">
            <v>0</v>
          </cell>
          <cell r="G134">
            <v>0</v>
          </cell>
        </row>
        <row r="135">
          <cell r="C135" t="str">
            <v xml:space="preserve">231. Aktive të trupëzuara </v>
          </cell>
          <cell r="D135">
            <v>0</v>
          </cell>
          <cell r="E135">
            <v>0</v>
          </cell>
          <cell r="F135">
            <v>0</v>
          </cell>
          <cell r="G135">
            <v>0</v>
          </cell>
        </row>
        <row r="136">
          <cell r="C136" t="str">
            <v>Kosto totale e produktit 1</v>
          </cell>
          <cell r="D136">
            <v>0</v>
          </cell>
          <cell r="E136">
            <v>0</v>
          </cell>
          <cell r="F136">
            <v>0</v>
          </cell>
          <cell r="G136">
            <v>0</v>
          </cell>
        </row>
        <row r="137">
          <cell r="C137" t="str">
            <v xml:space="preserve">Shënim: Shpjegoni supozimet dhe llogaritjet për Produktin 1 </v>
          </cell>
        </row>
        <row r="140">
          <cell r="C140" t="str">
            <v>Kodi i Projektit të Investimeve</v>
          </cell>
          <cell r="D140" t="str">
            <v>Emërtimi i Projektit të Investimeve</v>
          </cell>
        </row>
        <row r="141">
          <cell r="C141" t="str">
            <v>Produkti X (shto produkte sipas rastit)</v>
          </cell>
          <cell r="D141">
            <v>0</v>
          </cell>
        </row>
        <row r="142">
          <cell r="C142" t="str">
            <v>Përshkrimi i Produktit:</v>
          </cell>
          <cell r="D142">
            <v>0</v>
          </cell>
        </row>
        <row r="143">
          <cell r="C143" t="str">
            <v>Njësia Matëse</v>
          </cell>
          <cell r="D143">
            <v>0</v>
          </cell>
        </row>
        <row r="144">
          <cell r="D144">
            <v>2018</v>
          </cell>
          <cell r="E144">
            <v>2019</v>
          </cell>
          <cell r="F144">
            <v>2020</v>
          </cell>
          <cell r="G144">
            <v>2021</v>
          </cell>
        </row>
        <row r="145">
          <cell r="D145" t="str">
            <v>Buxheti</v>
          </cell>
          <cell r="E145" t="str">
            <v>Parashikimi</v>
          </cell>
          <cell r="F145" t="str">
            <v>Parashikimi</v>
          </cell>
          <cell r="G145" t="str">
            <v>Parashikimi</v>
          </cell>
        </row>
        <row r="146">
          <cell r="C146" t="str">
            <v>Sasia</v>
          </cell>
          <cell r="D146">
            <v>0</v>
          </cell>
          <cell r="E146">
            <v>0</v>
          </cell>
          <cell r="F146">
            <v>0</v>
          </cell>
          <cell r="G146">
            <v>0</v>
          </cell>
        </row>
        <row r="147">
          <cell r="C147" t="str">
            <v>Kosto totale (në mijë lekë)</v>
          </cell>
          <cell r="D147">
            <v>0</v>
          </cell>
          <cell r="E147">
            <v>0</v>
          </cell>
          <cell r="F147">
            <v>0</v>
          </cell>
          <cell r="G147">
            <v>0</v>
          </cell>
        </row>
        <row r="148">
          <cell r="C148" t="str">
            <v>Kosto për njësi (në mijë lekë)</v>
          </cell>
          <cell r="D148" t="e">
            <v>#DIV/0!</v>
          </cell>
          <cell r="E148" t="e">
            <v>#DIV/0!</v>
          </cell>
          <cell r="F148" t="e">
            <v>#DIV/0!</v>
          </cell>
          <cell r="G148" t="e">
            <v>#DIV/0!</v>
          </cell>
        </row>
        <row r="149">
          <cell r="C149" t="str">
            <v xml:space="preserve">Ndryshimi në % i Sasisë  </v>
          </cell>
          <cell r="D149" t="str">
            <v>…</v>
          </cell>
          <cell r="E149" t="e">
            <v>#DIV/0!</v>
          </cell>
          <cell r="F149" t="e">
            <v>#DIV/0!</v>
          </cell>
          <cell r="G149" t="e">
            <v>#DIV/0!</v>
          </cell>
        </row>
        <row r="150">
          <cell r="C150" t="str">
            <v xml:space="preserve">Ndryshimi në % i kostos totale  </v>
          </cell>
          <cell r="D150" t="str">
            <v>…</v>
          </cell>
          <cell r="E150" t="e">
            <v>#DIV/0!</v>
          </cell>
          <cell r="F150" t="e">
            <v>#DIV/0!</v>
          </cell>
          <cell r="G150" t="e">
            <v>#DIV/0!</v>
          </cell>
        </row>
        <row r="151">
          <cell r="C151" t="str">
            <v>Ndryshimi në % i kostos për njësi</v>
          </cell>
          <cell r="D151" t="str">
            <v>…</v>
          </cell>
          <cell r="E151" t="e">
            <v>#DIV/0!</v>
          </cell>
          <cell r="F151" t="e">
            <v>#DIV/0!</v>
          </cell>
          <cell r="G151" t="e">
            <v>#DIV/0!</v>
          </cell>
        </row>
        <row r="152">
          <cell r="C152" t="str">
            <v>Detajimi i Kostos Totale të Produktit X sipas Artikujve Ekonomikë</v>
          </cell>
        </row>
        <row r="153">
          <cell r="D153">
            <v>2018</v>
          </cell>
          <cell r="E153">
            <v>2019</v>
          </cell>
          <cell r="F153">
            <v>2020</v>
          </cell>
          <cell r="G153">
            <v>2021</v>
          </cell>
        </row>
        <row r="154">
          <cell r="D154" t="str">
            <v>Buxheti</v>
          </cell>
          <cell r="E154" t="str">
            <v>Parashikimi</v>
          </cell>
          <cell r="F154" t="str">
            <v>Parashikimi</v>
          </cell>
          <cell r="G154" t="str">
            <v>Parashikimi</v>
          </cell>
        </row>
        <row r="155">
          <cell r="C155" t="str">
            <v xml:space="preserve">230. Aktive të patrupëzuara </v>
          </cell>
          <cell r="D155">
            <v>0</v>
          </cell>
          <cell r="E155">
            <v>0</v>
          </cell>
          <cell r="F155">
            <v>0</v>
          </cell>
          <cell r="G155">
            <v>0</v>
          </cell>
        </row>
        <row r="156">
          <cell r="C156" t="str">
            <v xml:space="preserve">231. Aktive të trupëzuara </v>
          </cell>
          <cell r="D156">
            <v>0</v>
          </cell>
          <cell r="E156">
            <v>0</v>
          </cell>
          <cell r="F156">
            <v>0</v>
          </cell>
          <cell r="G156">
            <v>0</v>
          </cell>
        </row>
        <row r="157">
          <cell r="C157" t="str">
            <v>Kosto totale e produktit X</v>
          </cell>
          <cell r="D157">
            <v>0</v>
          </cell>
          <cell r="E157">
            <v>0</v>
          </cell>
          <cell r="F157">
            <v>0</v>
          </cell>
          <cell r="G157">
            <v>0</v>
          </cell>
        </row>
        <row r="158">
          <cell r="C158" t="str">
            <v>Shpenzimet Kapitale</v>
          </cell>
        </row>
        <row r="159">
          <cell r="C159" t="str">
            <v>Kategoria 2: Shpenzimet për projekte investimesh</v>
          </cell>
        </row>
        <row r="160">
          <cell r="C160" t="str">
            <v>Kodi i Projektit të Investimeve</v>
          </cell>
          <cell r="D160">
            <v>0</v>
          </cell>
        </row>
        <row r="161">
          <cell r="C161" t="str">
            <v>Produkti 1</v>
          </cell>
          <cell r="D161">
            <v>0</v>
          </cell>
        </row>
        <row r="162">
          <cell r="C162" t="str">
            <v>Përshkrimi i Produktit:</v>
          </cell>
          <cell r="D162">
            <v>0</v>
          </cell>
        </row>
        <row r="163">
          <cell r="C163" t="str">
            <v>Njësia Matëse</v>
          </cell>
          <cell r="D163" t="str">
            <v>cope</v>
          </cell>
        </row>
        <row r="164">
          <cell r="D164">
            <v>2018</v>
          </cell>
          <cell r="E164">
            <v>2019</v>
          </cell>
          <cell r="F164">
            <v>2020</v>
          </cell>
          <cell r="G164">
            <v>2021</v>
          </cell>
        </row>
        <row r="165">
          <cell r="D165" t="str">
            <v>Buxheti</v>
          </cell>
          <cell r="E165" t="str">
            <v>Parashikimi</v>
          </cell>
          <cell r="F165" t="str">
            <v>Parashikimi</v>
          </cell>
          <cell r="G165" t="str">
            <v>Parashikimi</v>
          </cell>
        </row>
        <row r="166">
          <cell r="C166" t="str">
            <v>Sasia</v>
          </cell>
          <cell r="D166">
            <v>1</v>
          </cell>
        </row>
        <row r="167">
          <cell r="C167" t="str">
            <v>Kosto totale (në mijë lekë)</v>
          </cell>
          <cell r="D167">
            <v>10000</v>
          </cell>
          <cell r="E167">
            <v>10000</v>
          </cell>
          <cell r="F167">
            <v>10000</v>
          </cell>
          <cell r="G167">
            <v>0</v>
          </cell>
        </row>
        <row r="168">
          <cell r="C168" t="str">
            <v>Kosto për njësi (në mijë lekë)</v>
          </cell>
          <cell r="D168">
            <v>10000</v>
          </cell>
          <cell r="E168" t="e">
            <v>#DIV/0!</v>
          </cell>
          <cell r="F168" t="e">
            <v>#DIV/0!</v>
          </cell>
          <cell r="G168" t="e">
            <v>#DIV/0!</v>
          </cell>
        </row>
        <row r="169">
          <cell r="C169" t="str">
            <v xml:space="preserve">Ndryshimi në % i Sasisë  </v>
          </cell>
          <cell r="D169" t="str">
            <v>…</v>
          </cell>
          <cell r="E169">
            <v>-1</v>
          </cell>
          <cell r="F169" t="e">
            <v>#DIV/0!</v>
          </cell>
          <cell r="G169" t="e">
            <v>#DIV/0!</v>
          </cell>
        </row>
        <row r="170">
          <cell r="C170" t="str">
            <v xml:space="preserve">Ndryshimi në % i kostos totale  </v>
          </cell>
          <cell r="D170" t="str">
            <v>…</v>
          </cell>
          <cell r="E170">
            <v>0</v>
          </cell>
          <cell r="F170">
            <v>0</v>
          </cell>
          <cell r="G170">
            <v>-1</v>
          </cell>
        </row>
        <row r="171">
          <cell r="C171" t="str">
            <v>Ndryshimi në % i kostos për njësi</v>
          </cell>
          <cell r="D171" t="str">
            <v>…</v>
          </cell>
          <cell r="E171" t="e">
            <v>#DIV/0!</v>
          </cell>
          <cell r="F171" t="e">
            <v>#DIV/0!</v>
          </cell>
          <cell r="G171" t="e">
            <v>#DIV/0!</v>
          </cell>
        </row>
        <row r="172">
          <cell r="C172" t="str">
            <v>Detajimi i Kostos Totale të Produktit 1 sipas Artikujve Ekonomikë</v>
          </cell>
        </row>
        <row r="173">
          <cell r="D173">
            <v>2018</v>
          </cell>
          <cell r="E173">
            <v>2019</v>
          </cell>
          <cell r="F173">
            <v>2020</v>
          </cell>
          <cell r="G173">
            <v>2021</v>
          </cell>
        </row>
        <row r="174">
          <cell r="D174" t="str">
            <v>Buxheti</v>
          </cell>
          <cell r="E174" t="str">
            <v>Parashikimi</v>
          </cell>
          <cell r="F174" t="str">
            <v>Parashikimi</v>
          </cell>
          <cell r="G174" t="str">
            <v>Parashikimi</v>
          </cell>
        </row>
        <row r="175">
          <cell r="C175" t="str">
            <v xml:space="preserve">230. Aktive të patrupëzuara </v>
          </cell>
          <cell r="D175">
            <v>10000</v>
          </cell>
          <cell r="E175">
            <v>10000</v>
          </cell>
          <cell r="F175">
            <v>10000</v>
          </cell>
          <cell r="G175">
            <v>0</v>
          </cell>
        </row>
        <row r="176">
          <cell r="C176" t="str">
            <v xml:space="preserve">231. Aktive të trupëzuara </v>
          </cell>
          <cell r="D176">
            <v>0</v>
          </cell>
          <cell r="E176">
            <v>0</v>
          </cell>
          <cell r="F176">
            <v>0</v>
          </cell>
          <cell r="G176">
            <v>0</v>
          </cell>
        </row>
        <row r="177">
          <cell r="C177" t="str">
            <v>Kosto totale e produktit 1</v>
          </cell>
          <cell r="D177">
            <v>10000</v>
          </cell>
          <cell r="E177">
            <v>10000</v>
          </cell>
          <cell r="F177">
            <v>10000</v>
          </cell>
          <cell r="G177">
            <v>0</v>
          </cell>
        </row>
        <row r="179">
          <cell r="C179" t="str">
            <v>Totali i shpenzimeve të Programit sipas produkteve*****</v>
          </cell>
          <cell r="D179">
            <v>44221</v>
          </cell>
          <cell r="E179">
            <v>44371</v>
          </cell>
          <cell r="F179">
            <v>44525.5</v>
          </cell>
          <cell r="G179">
            <v>34684.270000000004</v>
          </cell>
        </row>
        <row r="180">
          <cell r="C180" t="str">
            <v>Totali i shpenzimeve të Programit sipas artikujve*****</v>
          </cell>
        </row>
        <row r="181">
          <cell r="C181" t="str">
            <v>Ndryshimi në % i totalit të shpenzimeve të Programit</v>
          </cell>
          <cell r="E181">
            <v>3.3920535492186765E-3</v>
          </cell>
          <cell r="F181">
            <v>3.4820040116292361E-3</v>
          </cell>
          <cell r="G181">
            <v>-0.22102649043806366</v>
          </cell>
        </row>
        <row r="182">
          <cell r="C182" t="str">
            <v xml:space="preserve">600. Pagat </v>
          </cell>
          <cell r="D182">
            <v>25600</v>
          </cell>
          <cell r="E182">
            <v>25600</v>
          </cell>
          <cell r="F182">
            <v>25600</v>
          </cell>
          <cell r="G182">
            <v>25600</v>
          </cell>
        </row>
        <row r="183">
          <cell r="C183" t="str">
            <v>Ndryshimi në % i Pagave</v>
          </cell>
          <cell r="E183">
            <v>0</v>
          </cell>
          <cell r="F183">
            <v>0</v>
          </cell>
          <cell r="G183">
            <v>0</v>
          </cell>
        </row>
        <row r="184">
          <cell r="C184" t="str">
            <v>601. Sigurimet Shoqërore dhe Shendetësore</v>
          </cell>
          <cell r="D184">
            <v>3621</v>
          </cell>
          <cell r="E184">
            <v>3621</v>
          </cell>
          <cell r="F184">
            <v>3621</v>
          </cell>
          <cell r="G184">
            <v>3621</v>
          </cell>
        </row>
        <row r="185">
          <cell r="C185" t="str">
            <v>Ndryshimi në % i Sigurimeve Shoqërore dhe Shëndetësore</v>
          </cell>
          <cell r="E185">
            <v>0</v>
          </cell>
          <cell r="F185">
            <v>0</v>
          </cell>
          <cell r="G185">
            <v>0</v>
          </cell>
        </row>
        <row r="186">
          <cell r="C186" t="str">
            <v xml:space="preserve">602. Mallrat dhe shërbimet </v>
          </cell>
          <cell r="D186">
            <v>5000</v>
          </cell>
          <cell r="E186">
            <v>5150</v>
          </cell>
          <cell r="F186">
            <v>5304.5</v>
          </cell>
          <cell r="G186">
            <v>5463.1850000000004</v>
          </cell>
        </row>
        <row r="187">
          <cell r="C187" t="str">
            <v>Ndryshimi në % i Mallrave dhe Shërbimeve</v>
          </cell>
          <cell r="E187">
            <v>3.0000000000000027E-2</v>
          </cell>
          <cell r="F187">
            <v>3.0000000000000027E-2</v>
          </cell>
          <cell r="G187">
            <v>2.9915166368178037E-2</v>
          </cell>
        </row>
        <row r="188">
          <cell r="C188" t="str">
            <v xml:space="preserve">603. Subvencionet </v>
          </cell>
          <cell r="D188">
            <v>0</v>
          </cell>
          <cell r="E188">
            <v>0</v>
          </cell>
          <cell r="F188">
            <v>0</v>
          </cell>
          <cell r="G188">
            <v>0</v>
          </cell>
        </row>
        <row r="189">
          <cell r="C189" t="str">
            <v>Ndryshimi në % i Subvencioneve</v>
          </cell>
          <cell r="E189" t="e">
            <v>#DIV/0!</v>
          </cell>
          <cell r="F189" t="e">
            <v>#DIV/0!</v>
          </cell>
          <cell r="G189" t="e">
            <v>#DIV/0!</v>
          </cell>
        </row>
        <row r="190">
          <cell r="C190" t="str">
            <v>604. Transferta të brendshme</v>
          </cell>
          <cell r="D190">
            <v>0</v>
          </cell>
          <cell r="E190">
            <v>0</v>
          </cell>
          <cell r="F190">
            <v>0</v>
          </cell>
          <cell r="G190">
            <v>0</v>
          </cell>
        </row>
        <row r="191">
          <cell r="C191" t="str">
            <v>Ndryshimi në % i Transfertave të brendshme</v>
          </cell>
          <cell r="E191" t="e">
            <v>#DIV/0!</v>
          </cell>
          <cell r="F191" t="e">
            <v>#DIV/0!</v>
          </cell>
          <cell r="G191" t="e">
            <v>#DIV/0!</v>
          </cell>
        </row>
        <row r="192">
          <cell r="C192" t="str">
            <v>605. Transferta të jashtme</v>
          </cell>
          <cell r="D192">
            <v>0</v>
          </cell>
          <cell r="E192">
            <v>0</v>
          </cell>
          <cell r="F192">
            <v>0</v>
          </cell>
          <cell r="G192">
            <v>0</v>
          </cell>
        </row>
        <row r="193">
          <cell r="C193" t="str">
            <v>Ndryshimi në % i Transfertave të jashtme</v>
          </cell>
          <cell r="E193" t="e">
            <v>#DIV/0!</v>
          </cell>
          <cell r="F193" t="e">
            <v>#DIV/0!</v>
          </cell>
          <cell r="G193" t="e">
            <v>#DIV/0!</v>
          </cell>
        </row>
        <row r="194">
          <cell r="C194" t="str">
            <v xml:space="preserve">606. Transferta për familjet dhe individët </v>
          </cell>
          <cell r="D194">
            <v>0</v>
          </cell>
          <cell r="E194">
            <v>0</v>
          </cell>
          <cell r="F194">
            <v>0</v>
          </cell>
          <cell r="G194">
            <v>0</v>
          </cell>
        </row>
        <row r="195">
          <cell r="C195" t="str">
            <v>Ndryshimi në % i Transfertave për familjet dhe individët</v>
          </cell>
          <cell r="E195" t="e">
            <v>#DIV/0!</v>
          </cell>
          <cell r="F195" t="e">
            <v>#DIV/0!</v>
          </cell>
          <cell r="G195" t="e">
            <v>#DIV/0!</v>
          </cell>
        </row>
        <row r="196">
          <cell r="C196" t="str">
            <v>230. Aktivet e patrupëzuara</v>
          </cell>
          <cell r="D196">
            <v>10000</v>
          </cell>
          <cell r="E196">
            <v>10000</v>
          </cell>
          <cell r="F196">
            <v>10000</v>
          </cell>
          <cell r="G196">
            <v>0</v>
          </cell>
        </row>
        <row r="197">
          <cell r="C197" t="str">
            <v>Ndryshimi në % i Aktiveve të Patrupëzuara</v>
          </cell>
          <cell r="E197">
            <v>0</v>
          </cell>
          <cell r="F197">
            <v>0</v>
          </cell>
          <cell r="G197">
            <v>-1</v>
          </cell>
        </row>
        <row r="198">
          <cell r="C198" t="str">
            <v>231. Aktivet e trupëzuara</v>
          </cell>
          <cell r="D198">
            <v>0</v>
          </cell>
          <cell r="E198">
            <v>0</v>
          </cell>
          <cell r="F198">
            <v>0</v>
          </cell>
          <cell r="G198">
            <v>0</v>
          </cell>
        </row>
        <row r="199">
          <cell r="C199" t="str">
            <v>Ndryshimi në % i Aktiveve të Trupëzuara</v>
          </cell>
          <cell r="E199" t="e">
            <v>#DIV/0!</v>
          </cell>
          <cell r="F199" t="e">
            <v>#DIV/0!</v>
          </cell>
          <cell r="G199" t="e">
            <v>#DIV/0!</v>
          </cell>
        </row>
        <row r="200">
          <cell r="C200" t="str">
            <v>Kontroll</v>
          </cell>
          <cell r="D200">
            <v>0</v>
          </cell>
          <cell r="E200">
            <v>0</v>
          </cell>
          <cell r="F200">
            <v>0</v>
          </cell>
          <cell r="G200" t="str">
            <v>Error</v>
          </cell>
        </row>
        <row r="201">
          <cell r="C201" t="str">
            <v>Numri i Punonjësve Organik të Programit Buxhetor</v>
          </cell>
          <cell r="D201">
            <v>23</v>
          </cell>
          <cell r="E201">
            <v>23</v>
          </cell>
          <cell r="F201">
            <v>23</v>
          </cell>
          <cell r="G201">
            <v>23</v>
          </cell>
        </row>
        <row r="202">
          <cell r="C202" t="str">
            <v>Numri i Punonjësve me Kontratë të Programit Buxhetor</v>
          </cell>
          <cell r="D202">
            <v>1</v>
          </cell>
          <cell r="E202">
            <v>1</v>
          </cell>
          <cell r="F202">
            <v>1</v>
          </cell>
          <cell r="G202">
            <v>1</v>
          </cell>
        </row>
      </sheetData>
      <sheetData sheetId="3" refreshError="1"/>
      <sheetData sheetId="4" refreshError="1"/>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F.5. Investimet ne vazhdim"/>
      <sheetName val="F.6.Investime te reja"/>
      <sheetName val="Sheet1"/>
    </sheetNames>
    <sheetDataSet>
      <sheetData sheetId="0">
        <row r="9">
          <cell r="E9" t="str">
            <v>Menaxhimi i sistemit të prokurimit publik, koncesioneve, PPP dhe ankandit publik në Shqipëri për të arritur efikasitetin e përdorimit të fondeve publike. Përmirësimi i këtyre sistemeve nëpërmjet përafrimit të plotë të legjislacionit vendas me Direktivat përkatëse të Bashkimit Evropian. Ndjekjen e mirëzbatimit të legjislacionit te prokurimit publik nëpërmjet trajnimit të vazhdueshëm të punonjësve që janë ngarkuar me zbatimin e tij në Autoritetet Kontraktore, monitorimit të procedurave të kryera nga këto Autoritete Kontraktore, si dhe dhënien e këshillave dhe asistencës së nevojshme. Rritja e transparencës dhe lufta kundër korrupsionit, nëpërmjet publikimit në faqen e internetit të APP-së dhe në Buletinin Elektronik të Njoftimeve Publike, të të gjitha njoftimeve për procedurat e prokurimit publik, koncesioneve dhe ankandeve, si dhe aplikimi i sistemit të prokurimit elektronik, për kryerjen e të gjitha procedurave të prokurimit publik, nga të gjitha Autoritetet Kontraktore në Republikën e Shqipërisë, perfshire këtu dhe blerjen e vogël. Realizimi i procedurave konkurruese koncesionare,  nëpërmjet platformes elektronike te prokurimit, duke mundesuar transparence dhe lehtesim te kryerjes se ketyre procedurave per palet e perfshira ne proces.</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i 1 Misioni"/>
      <sheetName val="Formati 2 Politika Ekzistuese"/>
      <sheetName val="Formati 2.1 Sipas Tavaneve"/>
      <sheetName val="Formati 3 Politika te reja"/>
      <sheetName val="F.4. Alokimi i tavaneve per PE"/>
      <sheetName val="F.5. Investimet ne vazhdim"/>
      <sheetName val="F.6.Investime te reja"/>
      <sheetName val="Sheet1"/>
      <sheetName val="Sheet2"/>
    </sheetNames>
    <sheetDataSet>
      <sheetData sheetId="0"/>
      <sheetData sheetId="1">
        <row r="27">
          <cell r="D27">
            <v>74772</v>
          </cell>
          <cell r="E27">
            <v>78700</v>
          </cell>
          <cell r="F27">
            <v>78700</v>
          </cell>
          <cell r="G27">
            <v>78700</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07"/>
  <sheetViews>
    <sheetView topLeftCell="A187" zoomScale="130" zoomScaleNormal="130" zoomScaleSheetLayoutView="130" workbookViewId="0">
      <selection activeCell="J11" sqref="J11"/>
    </sheetView>
  </sheetViews>
  <sheetFormatPr defaultRowHeight="15" x14ac:dyDescent="0.25"/>
  <cols>
    <col min="1" max="1" width="11" style="567" customWidth="1"/>
    <col min="2" max="2" width="36" style="567" customWidth="1"/>
    <col min="3" max="3" width="13.140625" style="567" customWidth="1"/>
    <col min="4" max="4" width="14.7109375" style="567" customWidth="1"/>
    <col min="5" max="5" width="25" style="567" customWidth="1"/>
    <col min="6" max="6" width="26.140625" style="567" customWidth="1"/>
    <col min="7" max="7" width="9.140625" style="567"/>
    <col min="8" max="8" width="18.42578125" style="567" customWidth="1"/>
    <col min="9" max="9" width="11" style="567" customWidth="1"/>
    <col min="10" max="10" width="11" style="567" bestFit="1" customWidth="1"/>
    <col min="11" max="16384" width="9.140625" style="567"/>
  </cols>
  <sheetData>
    <row r="2" spans="2:7" ht="18" customHeight="1" x14ac:dyDescent="0.25">
      <c r="B2" s="761"/>
      <c r="C2" s="761"/>
      <c r="D2" s="761"/>
      <c r="E2" s="761"/>
      <c r="F2" s="761"/>
      <c r="G2" s="568"/>
    </row>
    <row r="3" spans="2:7" ht="15.75" thickBot="1" x14ac:dyDescent="0.3">
      <c r="B3" s="762" t="s">
        <v>0</v>
      </c>
      <c r="C3" s="762"/>
      <c r="D3" s="762"/>
      <c r="E3" s="762"/>
      <c r="F3" s="762"/>
    </row>
    <row r="4" spans="2:7" ht="16.5" thickBot="1" x14ac:dyDescent="0.3">
      <c r="B4" s="36" t="s">
        <v>2</v>
      </c>
      <c r="C4" s="763" t="s">
        <v>916</v>
      </c>
      <c r="D4" s="763"/>
      <c r="E4" s="763"/>
      <c r="F4" s="763"/>
    </row>
    <row r="5" spans="2:7" ht="16.5" thickBot="1" x14ac:dyDescent="0.3">
      <c r="B5" s="36" t="s">
        <v>3</v>
      </c>
      <c r="C5" s="764" t="s">
        <v>917</v>
      </c>
      <c r="D5" s="765"/>
      <c r="E5" s="765"/>
      <c r="F5" s="766"/>
    </row>
    <row r="6" spans="2:7" ht="16.5" thickBot="1" x14ac:dyDescent="0.3">
      <c r="B6" s="36" t="s">
        <v>5</v>
      </c>
      <c r="C6" s="767" t="s">
        <v>6</v>
      </c>
      <c r="D6" s="768"/>
      <c r="E6" s="768"/>
      <c r="F6" s="769"/>
    </row>
    <row r="7" spans="2:7" ht="16.5" thickBot="1" x14ac:dyDescent="0.3">
      <c r="B7" s="758" t="s">
        <v>7</v>
      </c>
      <c r="C7" s="759"/>
      <c r="D7" s="759"/>
      <c r="E7" s="759"/>
      <c r="F7" s="760"/>
    </row>
    <row r="8" spans="2:7" ht="15.75" thickBot="1" x14ac:dyDescent="0.3">
      <c r="B8" s="773" t="s">
        <v>918</v>
      </c>
      <c r="C8" s="774"/>
      <c r="D8" s="774"/>
      <c r="E8" s="774"/>
      <c r="F8" s="775"/>
    </row>
    <row r="9" spans="2:7" ht="36.75" customHeight="1" thickBot="1" x14ac:dyDescent="0.3">
      <c r="B9" s="773"/>
      <c r="C9" s="774"/>
      <c r="D9" s="774"/>
      <c r="E9" s="774"/>
      <c r="F9" s="775"/>
    </row>
    <row r="10" spans="2:7" ht="15.75" thickBot="1" x14ac:dyDescent="0.3">
      <c r="B10" s="773"/>
      <c r="C10" s="774"/>
      <c r="D10" s="774"/>
      <c r="E10" s="774"/>
      <c r="F10" s="775"/>
    </row>
    <row r="11" spans="2:7" ht="31.5" customHeight="1" thickBot="1" x14ac:dyDescent="0.3">
      <c r="B11" s="569" t="s">
        <v>8</v>
      </c>
      <c r="C11" s="776" t="s">
        <v>919</v>
      </c>
      <c r="D11" s="777"/>
      <c r="E11" s="777"/>
      <c r="F11" s="778"/>
    </row>
    <row r="12" spans="2:7" ht="23.25" customHeight="1" x14ac:dyDescent="0.25">
      <c r="B12" s="779" t="s">
        <v>102</v>
      </c>
      <c r="C12" s="570">
        <v>2018</v>
      </c>
      <c r="D12" s="570">
        <v>2019</v>
      </c>
      <c r="E12" s="570">
        <v>2020</v>
      </c>
      <c r="F12" s="570">
        <v>2021</v>
      </c>
    </row>
    <row r="13" spans="2:7" ht="16.5" thickBot="1" x14ac:dyDescent="0.3">
      <c r="B13" s="780"/>
      <c r="C13" s="571" t="s">
        <v>10</v>
      </c>
      <c r="D13" s="571" t="s">
        <v>11</v>
      </c>
      <c r="E13" s="571" t="s">
        <v>11</v>
      </c>
      <c r="F13" s="571" t="s">
        <v>11</v>
      </c>
    </row>
    <row r="14" spans="2:7" ht="16.5" thickBot="1" x14ac:dyDescent="0.3">
      <c r="B14" s="40" t="s">
        <v>211</v>
      </c>
      <c r="C14" s="572" t="s">
        <v>116</v>
      </c>
      <c r="D14" s="572" t="s">
        <v>117</v>
      </c>
      <c r="E14" s="572" t="s">
        <v>117</v>
      </c>
      <c r="F14" s="572" t="s">
        <v>117</v>
      </c>
    </row>
    <row r="15" spans="2:7" ht="16.5" thickBot="1" x14ac:dyDescent="0.3">
      <c r="B15" s="40" t="s">
        <v>212</v>
      </c>
      <c r="C15" s="572" t="s">
        <v>116</v>
      </c>
      <c r="D15" s="572" t="s">
        <v>117</v>
      </c>
      <c r="E15" s="572" t="s">
        <v>117</v>
      </c>
      <c r="F15" s="572" t="s">
        <v>117</v>
      </c>
    </row>
    <row r="16" spans="2:7" ht="32.25" thickBot="1" x14ac:dyDescent="0.3">
      <c r="B16" s="40" t="s">
        <v>115</v>
      </c>
      <c r="C16" s="572" t="s">
        <v>116</v>
      </c>
      <c r="D16" s="572" t="s">
        <v>117</v>
      </c>
      <c r="E16" s="572" t="s">
        <v>117</v>
      </c>
      <c r="F16" s="572" t="s">
        <v>117</v>
      </c>
    </row>
    <row r="17" spans="2:12" ht="38.25" customHeight="1" thickBot="1" x14ac:dyDescent="0.3">
      <c r="B17" s="649" t="s">
        <v>12</v>
      </c>
      <c r="C17" s="781" t="s">
        <v>920</v>
      </c>
      <c r="D17" s="782"/>
      <c r="E17" s="782"/>
      <c r="F17" s="783"/>
    </row>
    <row r="18" spans="2:12" ht="23.25" customHeight="1" thickBot="1" x14ac:dyDescent="0.3">
      <c r="B18" s="767" t="s">
        <v>103</v>
      </c>
      <c r="C18" s="768"/>
      <c r="D18" s="768"/>
      <c r="E18" s="768"/>
      <c r="F18" s="769"/>
      <c r="I18" s="573"/>
      <c r="K18" s="573"/>
    </row>
    <row r="19" spans="2:12" ht="16.5" thickBot="1" x14ac:dyDescent="0.3">
      <c r="B19" s="40" t="s">
        <v>921</v>
      </c>
      <c r="C19" s="572">
        <v>0.02</v>
      </c>
      <c r="D19" s="572">
        <v>0.03</v>
      </c>
      <c r="E19" s="572">
        <v>0.04</v>
      </c>
      <c r="F19" s="572">
        <v>0.05</v>
      </c>
    </row>
    <row r="20" spans="2:12" ht="16.5" thickBot="1" x14ac:dyDescent="0.3">
      <c r="B20" s="40" t="s">
        <v>212</v>
      </c>
      <c r="C20" s="572" t="s">
        <v>116</v>
      </c>
      <c r="D20" s="572" t="s">
        <v>117</v>
      </c>
      <c r="E20" s="572" t="s">
        <v>117</v>
      </c>
      <c r="F20" s="572" t="s">
        <v>117</v>
      </c>
    </row>
    <row r="21" spans="2:12" ht="32.25" thickBot="1" x14ac:dyDescent="0.3">
      <c r="B21" s="40" t="s">
        <v>115</v>
      </c>
      <c r="C21" s="572" t="s">
        <v>116</v>
      </c>
      <c r="D21" s="572" t="s">
        <v>117</v>
      </c>
      <c r="E21" s="572" t="s">
        <v>117</v>
      </c>
      <c r="F21" s="572" t="s">
        <v>117</v>
      </c>
    </row>
    <row r="22" spans="2:12" ht="16.5" thickBot="1" x14ac:dyDescent="0.3">
      <c r="B22" s="784" t="s">
        <v>14</v>
      </c>
      <c r="C22" s="785"/>
      <c r="D22" s="785"/>
      <c r="E22" s="785"/>
      <c r="F22" s="786"/>
    </row>
    <row r="23" spans="2:12" ht="16.5" thickBot="1" x14ac:dyDescent="0.3">
      <c r="B23" s="784" t="s">
        <v>104</v>
      </c>
      <c r="C23" s="785"/>
      <c r="D23" s="785"/>
      <c r="E23" s="785"/>
      <c r="F23" s="786"/>
    </row>
    <row r="24" spans="2:12" ht="16.5" thickBot="1" x14ac:dyDescent="0.3">
      <c r="B24" s="43" t="s">
        <v>105</v>
      </c>
      <c r="C24" s="787" t="s">
        <v>922</v>
      </c>
      <c r="D24" s="777"/>
      <c r="E24" s="777"/>
      <c r="F24" s="778"/>
    </row>
    <row r="25" spans="2:12" ht="29.25" customHeight="1" thickBot="1" x14ac:dyDescent="0.3">
      <c r="B25" s="40" t="s">
        <v>17</v>
      </c>
      <c r="C25" s="767" t="s">
        <v>923</v>
      </c>
      <c r="D25" s="768"/>
      <c r="E25" s="768"/>
      <c r="F25" s="769"/>
    </row>
    <row r="26" spans="2:12" ht="16.5" thickBot="1" x14ac:dyDescent="0.3">
      <c r="B26" s="40" t="s">
        <v>18</v>
      </c>
      <c r="C26" s="788" t="s">
        <v>921</v>
      </c>
      <c r="D26" s="789"/>
      <c r="E26" s="789"/>
      <c r="F26" s="790"/>
    </row>
    <row r="27" spans="2:12" ht="12.75" customHeight="1" x14ac:dyDescent="0.25">
      <c r="B27" s="779"/>
      <c r="C27" s="574">
        <v>2018</v>
      </c>
      <c r="D27" s="574">
        <v>2019</v>
      </c>
      <c r="E27" s="574">
        <v>2020</v>
      </c>
      <c r="F27" s="574">
        <v>2021</v>
      </c>
    </row>
    <row r="28" spans="2:12" ht="14.25" customHeight="1" thickBot="1" x14ac:dyDescent="0.3">
      <c r="B28" s="780"/>
      <c r="C28" s="575" t="s">
        <v>10</v>
      </c>
      <c r="D28" s="575" t="s">
        <v>11</v>
      </c>
      <c r="E28" s="575" t="s">
        <v>11</v>
      </c>
      <c r="F28" s="575" t="s">
        <v>11</v>
      </c>
    </row>
    <row r="29" spans="2:12" ht="16.5" thickBot="1" x14ac:dyDescent="0.3">
      <c r="B29" s="40" t="s">
        <v>19</v>
      </c>
      <c r="C29" s="576">
        <v>250</v>
      </c>
      <c r="D29" s="576">
        <v>257</v>
      </c>
      <c r="E29" s="576">
        <v>260</v>
      </c>
      <c r="F29" s="576">
        <v>263</v>
      </c>
    </row>
    <row r="30" spans="2:12" ht="16.5" thickBot="1" x14ac:dyDescent="0.3">
      <c r="B30" s="40" t="s">
        <v>20</v>
      </c>
      <c r="C30" s="576">
        <v>74241</v>
      </c>
      <c r="D30" s="576">
        <v>76834</v>
      </c>
      <c r="E30" s="576">
        <v>78084</v>
      </c>
      <c r="F30" s="576">
        <v>79334</v>
      </c>
    </row>
    <row r="31" spans="2:12" ht="16.5" thickBot="1" x14ac:dyDescent="0.3">
      <c r="B31" s="40" t="s">
        <v>21</v>
      </c>
      <c r="C31" s="576">
        <f>C30/C29</f>
        <v>296.964</v>
      </c>
      <c r="D31" s="576">
        <f>D30/D29</f>
        <v>298.96498054474711</v>
      </c>
      <c r="E31" s="576">
        <f>E30/E29</f>
        <v>300.32307692307694</v>
      </c>
      <c r="F31" s="576">
        <f>F30/F29</f>
        <v>301.65019011406844</v>
      </c>
    </row>
    <row r="32" spans="2:12" ht="16.5" thickBot="1" x14ac:dyDescent="0.3">
      <c r="B32" s="40" t="s">
        <v>22</v>
      </c>
      <c r="C32" s="40" t="s">
        <v>23</v>
      </c>
      <c r="D32" s="577">
        <f>D29/C29-1</f>
        <v>2.8000000000000025E-2</v>
      </c>
      <c r="E32" s="577">
        <f t="shared" ref="E32:F34" si="0">E29/D29-1</f>
        <v>1.1673151750972721E-2</v>
      </c>
      <c r="F32" s="577">
        <f t="shared" si="0"/>
        <v>1.1538461538461497E-2</v>
      </c>
      <c r="H32" s="578"/>
      <c r="I32" s="578"/>
      <c r="J32" s="578"/>
      <c r="K32" s="578"/>
      <c r="L32" s="578"/>
    </row>
    <row r="33" spans="2:11" ht="16.5" thickBot="1" x14ac:dyDescent="0.3">
      <c r="B33" s="40" t="s">
        <v>24</v>
      </c>
      <c r="C33" s="40" t="s">
        <v>23</v>
      </c>
      <c r="D33" s="577">
        <f>D30/C30-1</f>
        <v>3.4926792473161772E-2</v>
      </c>
      <c r="E33" s="577">
        <f t="shared" si="0"/>
        <v>1.6268839315927819E-2</v>
      </c>
      <c r="F33" s="577">
        <f t="shared" si="0"/>
        <v>1.6008401208954526E-2</v>
      </c>
    </row>
    <row r="34" spans="2:11" ht="16.5" thickBot="1" x14ac:dyDescent="0.3">
      <c r="B34" s="40" t="s">
        <v>25</v>
      </c>
      <c r="C34" s="40" t="s">
        <v>23</v>
      </c>
      <c r="D34" s="577">
        <f>D31/C31-1</f>
        <v>6.7381249738929228E-3</v>
      </c>
      <c r="E34" s="577">
        <f t="shared" si="0"/>
        <v>4.5426604007441362E-3</v>
      </c>
      <c r="F34" s="577">
        <f t="shared" si="0"/>
        <v>4.4189517655062183E-3</v>
      </c>
    </row>
    <row r="35" spans="2:11" ht="16.5" thickBot="1" x14ac:dyDescent="0.3">
      <c r="B35" s="770" t="s">
        <v>673</v>
      </c>
      <c r="C35" s="771"/>
      <c r="D35" s="771"/>
      <c r="E35" s="771"/>
      <c r="F35" s="772"/>
    </row>
    <row r="36" spans="2:11" ht="12.75" customHeight="1" x14ac:dyDescent="0.25">
      <c r="B36" s="779"/>
      <c r="C36" s="574">
        <v>2018</v>
      </c>
      <c r="D36" s="574">
        <v>2019</v>
      </c>
      <c r="E36" s="574">
        <v>2020</v>
      </c>
      <c r="F36" s="574">
        <v>2021</v>
      </c>
    </row>
    <row r="37" spans="2:11" ht="15" customHeight="1" thickBot="1" x14ac:dyDescent="0.3">
      <c r="B37" s="780"/>
      <c r="C37" s="575" t="s">
        <v>10</v>
      </c>
      <c r="D37" s="575" t="s">
        <v>11</v>
      </c>
      <c r="E37" s="575" t="s">
        <v>11</v>
      </c>
      <c r="F37" s="575" t="s">
        <v>11</v>
      </c>
    </row>
    <row r="38" spans="2:11" ht="16.5" thickBot="1" x14ac:dyDescent="0.3">
      <c r="B38" s="50" t="s">
        <v>26</v>
      </c>
      <c r="C38" s="579">
        <v>38250</v>
      </c>
      <c r="D38" s="579">
        <v>40092</v>
      </c>
      <c r="E38" s="579">
        <v>40092</v>
      </c>
      <c r="F38" s="579">
        <v>40092</v>
      </c>
    </row>
    <row r="39" spans="2:11" ht="32.25" thickBot="1" x14ac:dyDescent="0.3">
      <c r="B39" s="50" t="s">
        <v>28</v>
      </c>
      <c r="C39" s="579">
        <v>5991</v>
      </c>
      <c r="D39" s="579">
        <v>5992</v>
      </c>
      <c r="E39" s="579">
        <v>5992</v>
      </c>
      <c r="F39" s="579">
        <v>5992</v>
      </c>
    </row>
    <row r="40" spans="2:11" ht="16.5" thickBot="1" x14ac:dyDescent="0.3">
      <c r="B40" s="50" t="s">
        <v>30</v>
      </c>
      <c r="C40" s="580">
        <v>30000</v>
      </c>
      <c r="D40" s="579">
        <v>30750</v>
      </c>
      <c r="E40" s="579">
        <v>32000</v>
      </c>
      <c r="F40" s="579">
        <v>33250</v>
      </c>
    </row>
    <row r="41" spans="2:11" ht="16.5" thickBot="1" x14ac:dyDescent="0.3">
      <c r="B41" s="52" t="s">
        <v>40</v>
      </c>
      <c r="C41" s="580">
        <f>C40+C39+C38</f>
        <v>74241</v>
      </c>
      <c r="D41" s="580">
        <f>D40+D39+D38</f>
        <v>76834</v>
      </c>
      <c r="E41" s="580">
        <f>E40+E39+E38</f>
        <v>78084</v>
      </c>
      <c r="F41" s="580">
        <f>F40+F39+F38</f>
        <v>79334</v>
      </c>
    </row>
    <row r="42" spans="2:11" ht="16.5" thickBot="1" x14ac:dyDescent="0.3">
      <c r="B42" s="581" t="s">
        <v>41</v>
      </c>
      <c r="C42" s="582">
        <f>IF(C41-C30=0,0,"Error")</f>
        <v>0</v>
      </c>
      <c r="D42" s="582">
        <f>IF(D41-D30=0,0,"Error")</f>
        <v>0</v>
      </c>
      <c r="E42" s="582">
        <f>IF(E41-E30=0,0,"Error")</f>
        <v>0</v>
      </c>
      <c r="F42" s="582">
        <f>IF(F41-F30=0,0,"Error")</f>
        <v>0</v>
      </c>
    </row>
    <row r="43" spans="2:11" ht="52.5" customHeight="1" thickBot="1" x14ac:dyDescent="0.3">
      <c r="B43" s="649" t="s">
        <v>67</v>
      </c>
      <c r="C43" s="781" t="s">
        <v>924</v>
      </c>
      <c r="D43" s="782"/>
      <c r="E43" s="782"/>
      <c r="F43" s="783"/>
    </row>
    <row r="44" spans="2:11" ht="23.25" customHeight="1" thickBot="1" x14ac:dyDescent="0.3">
      <c r="B44" s="767" t="s">
        <v>140</v>
      </c>
      <c r="C44" s="768"/>
      <c r="D44" s="768"/>
      <c r="E44" s="768"/>
      <c r="F44" s="769"/>
      <c r="I44" s="573"/>
      <c r="K44" s="573"/>
    </row>
    <row r="45" spans="2:11" ht="16.5" thickBot="1" x14ac:dyDescent="0.3">
      <c r="B45" s="40" t="s">
        <v>925</v>
      </c>
      <c r="C45" s="572">
        <v>0.05</v>
      </c>
      <c r="D45" s="572">
        <v>0.05</v>
      </c>
      <c r="E45" s="572">
        <v>0.05</v>
      </c>
      <c r="F45" s="572">
        <v>0.05</v>
      </c>
    </row>
    <row r="46" spans="2:11" ht="16.5" thickBot="1" x14ac:dyDescent="0.3">
      <c r="B46" s="40" t="s">
        <v>212</v>
      </c>
      <c r="C46" s="572" t="s">
        <v>116</v>
      </c>
      <c r="D46" s="572" t="s">
        <v>117</v>
      </c>
      <c r="E46" s="572" t="s">
        <v>117</v>
      </c>
      <c r="F46" s="572" t="s">
        <v>117</v>
      </c>
    </row>
    <row r="47" spans="2:11" ht="32.25" thickBot="1" x14ac:dyDescent="0.3">
      <c r="B47" s="40" t="s">
        <v>115</v>
      </c>
      <c r="C47" s="572" t="s">
        <v>116</v>
      </c>
      <c r="D47" s="572" t="s">
        <v>117</v>
      </c>
      <c r="E47" s="572" t="s">
        <v>117</v>
      </c>
      <c r="F47" s="572" t="s">
        <v>117</v>
      </c>
    </row>
    <row r="48" spans="2:11" ht="16.5" thickBot="1" x14ac:dyDescent="0.3">
      <c r="B48" s="784" t="s">
        <v>69</v>
      </c>
      <c r="C48" s="785"/>
      <c r="D48" s="785"/>
      <c r="E48" s="785"/>
      <c r="F48" s="786"/>
    </row>
    <row r="49" spans="2:6" ht="16.5" thickBot="1" x14ac:dyDescent="0.3">
      <c r="B49" s="43" t="s">
        <v>926</v>
      </c>
      <c r="C49" s="787" t="s">
        <v>927</v>
      </c>
      <c r="D49" s="777"/>
      <c r="E49" s="777"/>
      <c r="F49" s="778"/>
    </row>
    <row r="50" spans="2:6" ht="31.5" customHeight="1" thickBot="1" x14ac:dyDescent="0.3">
      <c r="B50" s="40" t="s">
        <v>17</v>
      </c>
      <c r="C50" s="767" t="s">
        <v>928</v>
      </c>
      <c r="D50" s="768"/>
      <c r="E50" s="768"/>
      <c r="F50" s="769"/>
    </row>
    <row r="51" spans="2:6" ht="16.5" thickBot="1" x14ac:dyDescent="0.3">
      <c r="B51" s="40" t="s">
        <v>18</v>
      </c>
      <c r="C51" s="788" t="s">
        <v>925</v>
      </c>
      <c r="D51" s="789"/>
      <c r="E51" s="789"/>
      <c r="F51" s="790"/>
    </row>
    <row r="52" spans="2:6" ht="16.5" thickBot="1" x14ac:dyDescent="0.3">
      <c r="B52" s="40" t="s">
        <v>19</v>
      </c>
      <c r="C52" s="576">
        <v>25</v>
      </c>
      <c r="D52" s="576">
        <v>27</v>
      </c>
      <c r="E52" s="576">
        <v>29</v>
      </c>
      <c r="F52" s="576">
        <v>31</v>
      </c>
    </row>
    <row r="53" spans="2:6" ht="12.75" customHeight="1" x14ac:dyDescent="0.25">
      <c r="B53" s="779"/>
      <c r="C53" s="574">
        <v>2018</v>
      </c>
      <c r="D53" s="574">
        <v>2019</v>
      </c>
      <c r="E53" s="574">
        <v>2020</v>
      </c>
      <c r="F53" s="574">
        <v>2021</v>
      </c>
    </row>
    <row r="54" spans="2:6" ht="13.5" customHeight="1" thickBot="1" x14ac:dyDescent="0.3">
      <c r="B54" s="780"/>
      <c r="C54" s="575" t="s">
        <v>10</v>
      </c>
      <c r="D54" s="575" t="s">
        <v>11</v>
      </c>
      <c r="E54" s="575" t="s">
        <v>11</v>
      </c>
      <c r="F54" s="575" t="s">
        <v>11</v>
      </c>
    </row>
    <row r="55" spans="2:6" ht="16.5" thickBot="1" x14ac:dyDescent="0.3">
      <c r="B55" s="40" t="s">
        <v>20</v>
      </c>
      <c r="C55" s="576">
        <v>75442</v>
      </c>
      <c r="D55" s="576">
        <v>78343</v>
      </c>
      <c r="E55" s="576">
        <v>80194</v>
      </c>
      <c r="F55" s="576">
        <v>82044</v>
      </c>
    </row>
    <row r="56" spans="2:6" ht="16.5" thickBot="1" x14ac:dyDescent="0.3">
      <c r="B56" s="40" t="s">
        <v>21</v>
      </c>
      <c r="C56" s="576">
        <f>C55/C52</f>
        <v>3017.68</v>
      </c>
      <c r="D56" s="576">
        <f>D55/D52</f>
        <v>2901.5925925925926</v>
      </c>
      <c r="E56" s="576">
        <f>E55/E52</f>
        <v>2765.3103448275861</v>
      </c>
      <c r="F56" s="576">
        <f>F55/F52</f>
        <v>2646.5806451612902</v>
      </c>
    </row>
    <row r="57" spans="2:6" ht="16.5" thickBot="1" x14ac:dyDescent="0.3">
      <c r="B57" s="40" t="s">
        <v>22</v>
      </c>
      <c r="C57" s="40"/>
      <c r="D57" s="577">
        <f>D52/C52-1</f>
        <v>8.0000000000000071E-2</v>
      </c>
      <c r="E57" s="577">
        <f>E52/D52-1</f>
        <v>7.4074074074074181E-2</v>
      </c>
      <c r="F57" s="577">
        <f>F52/E52-1</f>
        <v>6.8965517241379226E-2</v>
      </c>
    </row>
    <row r="58" spans="2:6" ht="16.5" thickBot="1" x14ac:dyDescent="0.3">
      <c r="B58" s="40" t="s">
        <v>24</v>
      </c>
      <c r="C58" s="40"/>
      <c r="D58" s="577">
        <f t="shared" ref="D58:F59" si="1">D55/C55-1</f>
        <v>3.8453381405583187E-2</v>
      </c>
      <c r="E58" s="577">
        <f t="shared" si="1"/>
        <v>2.3626871577550057E-2</v>
      </c>
      <c r="F58" s="577">
        <f t="shared" si="1"/>
        <v>2.3069057535476389E-2</v>
      </c>
    </row>
    <row r="59" spans="2:6" ht="16.5" thickBot="1" x14ac:dyDescent="0.3">
      <c r="B59" s="40" t="s">
        <v>25</v>
      </c>
      <c r="C59" s="40"/>
      <c r="D59" s="577">
        <f t="shared" si="1"/>
        <v>-3.8469091291126745E-2</v>
      </c>
      <c r="E59" s="577">
        <f t="shared" si="1"/>
        <v>-4.696808508297079E-2</v>
      </c>
      <c r="F59" s="577">
        <f t="shared" si="1"/>
        <v>-4.2935397789392926E-2</v>
      </c>
    </row>
    <row r="60" spans="2:6" ht="24.75" customHeight="1" thickBot="1" x14ac:dyDescent="0.3">
      <c r="B60" s="770" t="s">
        <v>929</v>
      </c>
      <c r="C60" s="771"/>
      <c r="D60" s="771"/>
      <c r="E60" s="771"/>
      <c r="F60" s="772"/>
    </row>
    <row r="61" spans="2:6" ht="12.75" customHeight="1" x14ac:dyDescent="0.25">
      <c r="B61" s="779"/>
      <c r="C61" s="574">
        <v>2018</v>
      </c>
      <c r="D61" s="574">
        <v>2019</v>
      </c>
      <c r="E61" s="574">
        <v>2020</v>
      </c>
      <c r="F61" s="574">
        <v>2021</v>
      </c>
    </row>
    <row r="62" spans="2:6" ht="14.25" customHeight="1" thickBot="1" x14ac:dyDescent="0.3">
      <c r="B62" s="780"/>
      <c r="C62" s="575" t="s">
        <v>10</v>
      </c>
      <c r="D62" s="575" t="s">
        <v>11</v>
      </c>
      <c r="E62" s="575" t="s">
        <v>11</v>
      </c>
      <c r="F62" s="575" t="s">
        <v>11</v>
      </c>
    </row>
    <row r="63" spans="2:6" ht="24.75" customHeight="1" thickBot="1" x14ac:dyDescent="0.3">
      <c r="B63" s="50" t="s">
        <v>26</v>
      </c>
      <c r="C63" s="579">
        <v>27050</v>
      </c>
      <c r="D63" s="579">
        <v>28841</v>
      </c>
      <c r="E63" s="579">
        <v>28842</v>
      </c>
      <c r="F63" s="579">
        <v>28842</v>
      </c>
    </row>
    <row r="64" spans="2:6" ht="24.75" customHeight="1" thickBot="1" x14ac:dyDescent="0.3">
      <c r="B64" s="50" t="s">
        <v>28</v>
      </c>
      <c r="C64" s="579">
        <v>3992</v>
      </c>
      <c r="D64" s="579">
        <v>3992</v>
      </c>
      <c r="E64" s="579">
        <v>3992</v>
      </c>
      <c r="F64" s="579">
        <v>3992</v>
      </c>
    </row>
    <row r="65" spans="2:6" ht="24.75" customHeight="1" thickBot="1" x14ac:dyDescent="0.3">
      <c r="B65" s="50" t="s">
        <v>30</v>
      </c>
      <c r="C65" s="580">
        <v>44400</v>
      </c>
      <c r="D65" s="579">
        <v>45510</v>
      </c>
      <c r="E65" s="579">
        <v>47360</v>
      </c>
      <c r="F65" s="579">
        <v>49210</v>
      </c>
    </row>
    <row r="66" spans="2:6" ht="16.5" thickBot="1" x14ac:dyDescent="0.3">
      <c r="B66" s="80" t="s">
        <v>74</v>
      </c>
      <c r="C66" s="580">
        <f>C65+C64+C63</f>
        <v>75442</v>
      </c>
      <c r="D66" s="580">
        <f>D65+D64+D63</f>
        <v>78343</v>
      </c>
      <c r="E66" s="580">
        <f>E65+E64+E63</f>
        <v>80194</v>
      </c>
      <c r="F66" s="580">
        <f>F65+F64+F63</f>
        <v>82044</v>
      </c>
    </row>
    <row r="67" spans="2:6" ht="17.25" customHeight="1" thickBot="1" x14ac:dyDescent="0.3">
      <c r="B67" s="581" t="s">
        <v>41</v>
      </c>
      <c r="C67" s="582">
        <f>IF(C66-C55=0,0,"Error")</f>
        <v>0</v>
      </c>
      <c r="D67" s="582">
        <f>IF(D66-D55=0,0,"Error")</f>
        <v>0</v>
      </c>
      <c r="E67" s="582">
        <f>IF(E66-E55=0,0,"Error")</f>
        <v>0</v>
      </c>
      <c r="F67" s="582">
        <f>IF(F66-F55=0,0,"Error")</f>
        <v>0</v>
      </c>
    </row>
    <row r="68" spans="2:6" ht="43.5" customHeight="1" thickBot="1" x14ac:dyDescent="0.3">
      <c r="B68" s="649" t="s">
        <v>75</v>
      </c>
      <c r="C68" s="781" t="s">
        <v>930</v>
      </c>
      <c r="D68" s="782"/>
      <c r="E68" s="782"/>
      <c r="F68" s="783"/>
    </row>
    <row r="69" spans="2:6" ht="17.25" customHeight="1" thickBot="1" x14ac:dyDescent="0.3">
      <c r="B69" s="767" t="s">
        <v>599</v>
      </c>
      <c r="C69" s="768"/>
      <c r="D69" s="768"/>
      <c r="E69" s="768"/>
      <c r="F69" s="769"/>
    </row>
    <row r="70" spans="2:6" ht="17.25" customHeight="1" thickBot="1" x14ac:dyDescent="0.3">
      <c r="B70" s="40" t="s">
        <v>931</v>
      </c>
      <c r="C70" s="572">
        <v>0.05</v>
      </c>
      <c r="D70" s="572">
        <v>0.05</v>
      </c>
      <c r="E70" s="572">
        <v>7.0000000000000007E-2</v>
      </c>
      <c r="F70" s="572">
        <v>0.08</v>
      </c>
    </row>
    <row r="71" spans="2:6" ht="17.25" customHeight="1" thickBot="1" x14ac:dyDescent="0.3">
      <c r="B71" s="40" t="s">
        <v>212</v>
      </c>
      <c r="C71" s="572" t="s">
        <v>116</v>
      </c>
      <c r="D71" s="572" t="s">
        <v>117</v>
      </c>
      <c r="E71" s="572" t="s">
        <v>117</v>
      </c>
      <c r="F71" s="572" t="s">
        <v>117</v>
      </c>
    </row>
    <row r="72" spans="2:6" ht="17.25" customHeight="1" thickBot="1" x14ac:dyDescent="0.3">
      <c r="B72" s="40" t="s">
        <v>115</v>
      </c>
      <c r="C72" s="572" t="s">
        <v>116</v>
      </c>
      <c r="D72" s="572" t="s">
        <v>117</v>
      </c>
      <c r="E72" s="572" t="s">
        <v>117</v>
      </c>
      <c r="F72" s="572" t="s">
        <v>117</v>
      </c>
    </row>
    <row r="73" spans="2:6" ht="17.25" customHeight="1" thickBot="1" x14ac:dyDescent="0.3">
      <c r="B73" s="784" t="s">
        <v>77</v>
      </c>
      <c r="C73" s="785"/>
      <c r="D73" s="785"/>
      <c r="E73" s="785"/>
      <c r="F73" s="786"/>
    </row>
    <row r="74" spans="2:6" ht="17.25" customHeight="1" thickBot="1" x14ac:dyDescent="0.3">
      <c r="B74" s="133" t="s">
        <v>932</v>
      </c>
      <c r="C74" s="787" t="s">
        <v>933</v>
      </c>
      <c r="D74" s="777"/>
      <c r="E74" s="777"/>
      <c r="F74" s="778"/>
    </row>
    <row r="75" spans="2:6" ht="33" customHeight="1" thickBot="1" x14ac:dyDescent="0.3">
      <c r="B75" s="40" t="s">
        <v>17</v>
      </c>
      <c r="C75" s="767" t="s">
        <v>934</v>
      </c>
      <c r="D75" s="768"/>
      <c r="E75" s="768"/>
      <c r="F75" s="769"/>
    </row>
    <row r="76" spans="2:6" ht="17.25" customHeight="1" thickBot="1" x14ac:dyDescent="0.3">
      <c r="B76" s="40" t="s">
        <v>18</v>
      </c>
      <c r="C76" s="788" t="s">
        <v>931</v>
      </c>
      <c r="D76" s="789"/>
      <c r="E76" s="789"/>
      <c r="F76" s="790"/>
    </row>
    <row r="77" spans="2:6" ht="17.25" customHeight="1" thickBot="1" x14ac:dyDescent="0.3">
      <c r="B77" s="40" t="s">
        <v>19</v>
      </c>
      <c r="C77" s="576">
        <v>300</v>
      </c>
      <c r="D77" s="576">
        <v>315</v>
      </c>
      <c r="E77" s="576">
        <v>320</v>
      </c>
      <c r="F77" s="576">
        <v>325</v>
      </c>
    </row>
    <row r="78" spans="2:6" ht="17.25" customHeight="1" x14ac:dyDescent="0.25">
      <c r="B78" s="779"/>
      <c r="C78" s="574">
        <v>2018</v>
      </c>
      <c r="D78" s="574">
        <v>2019</v>
      </c>
      <c r="E78" s="574">
        <v>2020</v>
      </c>
      <c r="F78" s="574">
        <v>2021</v>
      </c>
    </row>
    <row r="79" spans="2:6" ht="17.25" customHeight="1" thickBot="1" x14ac:dyDescent="0.3">
      <c r="B79" s="780"/>
      <c r="C79" s="575" t="s">
        <v>10</v>
      </c>
      <c r="D79" s="575" t="s">
        <v>11</v>
      </c>
      <c r="E79" s="575" t="s">
        <v>11</v>
      </c>
      <c r="F79" s="575" t="s">
        <v>11</v>
      </c>
    </row>
    <row r="80" spans="2:6" ht="16.5" thickBot="1" x14ac:dyDescent="0.3">
      <c r="B80" s="40" t="s">
        <v>20</v>
      </c>
      <c r="C80" s="576">
        <v>81817</v>
      </c>
      <c r="D80" s="576">
        <v>84823</v>
      </c>
      <c r="E80" s="576">
        <v>86722</v>
      </c>
      <c r="F80" s="576">
        <v>88622</v>
      </c>
    </row>
    <row r="81" spans="2:6" ht="16.5" thickBot="1" x14ac:dyDescent="0.3">
      <c r="B81" s="40" t="s">
        <v>21</v>
      </c>
      <c r="C81" s="576">
        <f>C80/C77</f>
        <v>272.72333333333336</v>
      </c>
      <c r="D81" s="576">
        <f>D80/D77</f>
        <v>269.27936507936511</v>
      </c>
      <c r="E81" s="576">
        <f>E80/E77</f>
        <v>271.00625000000002</v>
      </c>
      <c r="F81" s="576">
        <f>F80/F77</f>
        <v>272.6830769230769</v>
      </c>
    </row>
    <row r="82" spans="2:6" ht="16.5" thickBot="1" x14ac:dyDescent="0.3">
      <c r="B82" s="40" t="s">
        <v>22</v>
      </c>
      <c r="C82" s="40"/>
      <c r="D82" s="577">
        <f>D77/C77-1</f>
        <v>5.0000000000000044E-2</v>
      </c>
      <c r="E82" s="577">
        <f>E77/D77-1</f>
        <v>1.5873015873015817E-2</v>
      </c>
      <c r="F82" s="577">
        <f>F77/E77-1</f>
        <v>1.5625E-2</v>
      </c>
    </row>
    <row r="83" spans="2:6" ht="16.5" thickBot="1" x14ac:dyDescent="0.3">
      <c r="B83" s="40" t="s">
        <v>24</v>
      </c>
      <c r="C83" s="40"/>
      <c r="D83" s="577">
        <f t="shared" ref="D83:F84" si="2">D80/C80-1</f>
        <v>3.6740530696554474E-2</v>
      </c>
      <c r="E83" s="577">
        <f t="shared" si="2"/>
        <v>2.2387795762941698E-2</v>
      </c>
      <c r="F83" s="577">
        <f t="shared" si="2"/>
        <v>2.1909088812527289E-2</v>
      </c>
    </row>
    <row r="84" spans="2:6" ht="16.5" thickBot="1" x14ac:dyDescent="0.3">
      <c r="B84" s="40" t="s">
        <v>25</v>
      </c>
      <c r="C84" s="40"/>
      <c r="D84" s="577">
        <f t="shared" si="2"/>
        <v>-1.2628066003281369E-2</v>
      </c>
      <c r="E84" s="577">
        <f t="shared" si="2"/>
        <v>6.4129864541455639E-3</v>
      </c>
      <c r="F84" s="577">
        <f t="shared" si="2"/>
        <v>6.1874105231036758E-3</v>
      </c>
    </row>
    <row r="85" spans="2:6" ht="17.25" customHeight="1" thickBot="1" x14ac:dyDescent="0.3">
      <c r="B85" s="770" t="s">
        <v>929</v>
      </c>
      <c r="C85" s="771"/>
      <c r="D85" s="771"/>
      <c r="E85" s="771"/>
      <c r="F85" s="772"/>
    </row>
    <row r="86" spans="2:6" ht="17.25" customHeight="1" x14ac:dyDescent="0.25">
      <c r="B86" s="779"/>
      <c r="C86" s="574">
        <v>2018</v>
      </c>
      <c r="D86" s="574">
        <v>2019</v>
      </c>
      <c r="E86" s="574">
        <v>2020</v>
      </c>
      <c r="F86" s="574">
        <v>2021</v>
      </c>
    </row>
    <row r="87" spans="2:6" ht="17.25" customHeight="1" thickBot="1" x14ac:dyDescent="0.3">
      <c r="B87" s="780"/>
      <c r="C87" s="575" t="s">
        <v>10</v>
      </c>
      <c r="D87" s="575" t="s">
        <v>11</v>
      </c>
      <c r="E87" s="575" t="s">
        <v>11</v>
      </c>
      <c r="F87" s="575" t="s">
        <v>11</v>
      </c>
    </row>
    <row r="88" spans="2:6" ht="16.5" thickBot="1" x14ac:dyDescent="0.3">
      <c r="B88" s="50" t="s">
        <v>26</v>
      </c>
      <c r="C88" s="579">
        <v>31400</v>
      </c>
      <c r="D88" s="579">
        <v>33266</v>
      </c>
      <c r="E88" s="579">
        <v>33266</v>
      </c>
      <c r="F88" s="579">
        <v>33266</v>
      </c>
    </row>
    <row r="89" spans="2:6" ht="32.25" thickBot="1" x14ac:dyDescent="0.3">
      <c r="B89" s="50" t="s">
        <v>28</v>
      </c>
      <c r="C89" s="579">
        <v>4817</v>
      </c>
      <c r="D89" s="579">
        <v>4817</v>
      </c>
      <c r="E89" s="579">
        <v>4816</v>
      </c>
      <c r="F89" s="579">
        <v>4816</v>
      </c>
    </row>
    <row r="90" spans="2:6" ht="16.5" thickBot="1" x14ac:dyDescent="0.3">
      <c r="B90" s="50" t="s">
        <v>30</v>
      </c>
      <c r="C90" s="580">
        <v>45600</v>
      </c>
      <c r="D90" s="579">
        <v>46740</v>
      </c>
      <c r="E90" s="579">
        <v>48640</v>
      </c>
      <c r="F90" s="579">
        <v>50540</v>
      </c>
    </row>
    <row r="91" spans="2:6" ht="16.5" thickBot="1" x14ac:dyDescent="0.3">
      <c r="B91" s="80" t="s">
        <v>74</v>
      </c>
      <c r="C91" s="580">
        <f>C90+C89+C88</f>
        <v>81817</v>
      </c>
      <c r="D91" s="580">
        <f>D90+D89+D88</f>
        <v>84823</v>
      </c>
      <c r="E91" s="580">
        <f>E90+E89+E88</f>
        <v>86722</v>
      </c>
      <c r="F91" s="580">
        <f>F90+F89+F88</f>
        <v>88622</v>
      </c>
    </row>
    <row r="92" spans="2:6" ht="17.25" customHeight="1" thickBot="1" x14ac:dyDescent="0.3">
      <c r="B92" s="581" t="s">
        <v>41</v>
      </c>
      <c r="C92" s="582">
        <f>IF(C91-C80=0,0,"Error")</f>
        <v>0</v>
      </c>
      <c r="D92" s="582">
        <f>IF(D91-D80=0,0,"Error")</f>
        <v>0</v>
      </c>
      <c r="E92" s="582">
        <f>IF(E91-E80=0,0,"Error")</f>
        <v>0</v>
      </c>
      <c r="F92" s="582">
        <f>IF(F91-F80=0,0,"Error")</f>
        <v>0</v>
      </c>
    </row>
    <row r="93" spans="2:6" ht="16.5" thickBot="1" x14ac:dyDescent="0.3">
      <c r="B93" s="784" t="s">
        <v>63</v>
      </c>
      <c r="C93" s="785"/>
      <c r="D93" s="785"/>
      <c r="E93" s="785"/>
      <c r="F93" s="786"/>
    </row>
    <row r="94" spans="2:6" ht="16.5" thickBot="1" x14ac:dyDescent="0.3">
      <c r="B94" s="784" t="s">
        <v>56</v>
      </c>
      <c r="C94" s="785"/>
      <c r="D94" s="785"/>
      <c r="E94" s="785"/>
      <c r="F94" s="786"/>
    </row>
    <row r="95" spans="2:6" ht="16.5" thickBot="1" x14ac:dyDescent="0.3">
      <c r="B95" s="583" t="s">
        <v>935</v>
      </c>
      <c r="C95" s="791" t="s">
        <v>936</v>
      </c>
      <c r="D95" s="792"/>
      <c r="E95" s="792"/>
      <c r="F95" s="793"/>
    </row>
    <row r="96" spans="2:6" ht="16.5" thickBot="1" x14ac:dyDescent="0.3">
      <c r="B96" s="43" t="s">
        <v>16</v>
      </c>
      <c r="C96" s="787" t="s">
        <v>238</v>
      </c>
      <c r="D96" s="777"/>
      <c r="E96" s="777"/>
      <c r="F96" s="778"/>
    </row>
    <row r="97" spans="2:12" ht="17.25" customHeight="1" thickBot="1" x14ac:dyDescent="0.3">
      <c r="B97" s="40" t="s">
        <v>17</v>
      </c>
      <c r="C97" s="791" t="s">
        <v>937</v>
      </c>
      <c r="D97" s="792"/>
      <c r="E97" s="792"/>
      <c r="F97" s="793"/>
    </row>
    <row r="98" spans="2:12" ht="16.5" thickBot="1" x14ac:dyDescent="0.3">
      <c r="B98" s="40" t="s">
        <v>18</v>
      </c>
      <c r="C98" s="788" t="s">
        <v>73</v>
      </c>
      <c r="D98" s="789"/>
      <c r="E98" s="789"/>
      <c r="F98" s="790"/>
    </row>
    <row r="99" spans="2:12" ht="12.75" customHeight="1" x14ac:dyDescent="0.25">
      <c r="B99" s="779"/>
      <c r="C99" s="574">
        <v>2018</v>
      </c>
      <c r="D99" s="574">
        <v>2019</v>
      </c>
      <c r="E99" s="574">
        <v>2020</v>
      </c>
      <c r="F99" s="574">
        <v>2021</v>
      </c>
    </row>
    <row r="100" spans="2:12" ht="25.5" customHeight="1" thickBot="1" x14ac:dyDescent="0.3">
      <c r="B100" s="780"/>
      <c r="C100" s="575" t="s">
        <v>10</v>
      </c>
      <c r="D100" s="575" t="s">
        <v>11</v>
      </c>
      <c r="E100" s="575" t="s">
        <v>11</v>
      </c>
      <c r="F100" s="575" t="s">
        <v>11</v>
      </c>
    </row>
    <row r="101" spans="2:12" ht="16.5" thickBot="1" x14ac:dyDescent="0.3">
      <c r="B101" s="40" t="s">
        <v>19</v>
      </c>
      <c r="C101" s="576">
        <v>1</v>
      </c>
      <c r="D101" s="576"/>
      <c r="E101" s="576"/>
      <c r="F101" s="576"/>
    </row>
    <row r="102" spans="2:12" ht="16.5" thickBot="1" x14ac:dyDescent="0.3">
      <c r="B102" s="40" t="s">
        <v>20</v>
      </c>
      <c r="C102" s="576">
        <v>2500</v>
      </c>
      <c r="D102" s="576"/>
      <c r="E102" s="576"/>
      <c r="F102" s="576"/>
    </row>
    <row r="103" spans="2:12" ht="16.5" thickBot="1" x14ac:dyDescent="0.3">
      <c r="B103" s="40" t="s">
        <v>21</v>
      </c>
      <c r="C103" s="576">
        <f>C102/C101</f>
        <v>2500</v>
      </c>
      <c r="D103" s="576" t="e">
        <f>D102/D101</f>
        <v>#DIV/0!</v>
      </c>
      <c r="E103" s="576" t="e">
        <f>E102/E101</f>
        <v>#DIV/0!</v>
      </c>
      <c r="F103" s="576" t="e">
        <f>F102/F101</f>
        <v>#DIV/0!</v>
      </c>
    </row>
    <row r="104" spans="2:12" ht="16.5" thickBot="1" x14ac:dyDescent="0.3">
      <c r="B104" s="40" t="s">
        <v>22</v>
      </c>
      <c r="C104" s="40" t="s">
        <v>23</v>
      </c>
      <c r="D104" s="577">
        <f>D101/C101-1</f>
        <v>-1</v>
      </c>
      <c r="E104" s="577" t="e">
        <f t="shared" ref="E104:F106" si="3">E101/D101-1</f>
        <v>#DIV/0!</v>
      </c>
      <c r="F104" s="577" t="e">
        <f t="shared" si="3"/>
        <v>#DIV/0!</v>
      </c>
      <c r="H104" s="578"/>
      <c r="I104" s="578"/>
      <c r="J104" s="578"/>
      <c r="K104" s="578"/>
      <c r="L104" s="578"/>
    </row>
    <row r="105" spans="2:12" ht="16.5" thickBot="1" x14ac:dyDescent="0.3">
      <c r="B105" s="40" t="s">
        <v>24</v>
      </c>
      <c r="C105" s="40" t="s">
        <v>23</v>
      </c>
      <c r="D105" s="577">
        <f>D102/C102-1</f>
        <v>-1</v>
      </c>
      <c r="E105" s="577" t="e">
        <f t="shared" si="3"/>
        <v>#DIV/0!</v>
      </c>
      <c r="F105" s="577" t="e">
        <f t="shared" si="3"/>
        <v>#DIV/0!</v>
      </c>
    </row>
    <row r="106" spans="2:12" ht="16.5" thickBot="1" x14ac:dyDescent="0.3">
      <c r="B106" s="40" t="s">
        <v>25</v>
      </c>
      <c r="C106" s="40" t="s">
        <v>23</v>
      </c>
      <c r="D106" s="577" t="e">
        <f>D103/C103-1</f>
        <v>#DIV/0!</v>
      </c>
      <c r="E106" s="577" t="e">
        <f t="shared" si="3"/>
        <v>#DIV/0!</v>
      </c>
      <c r="F106" s="577" t="e">
        <f t="shared" si="3"/>
        <v>#DIV/0!</v>
      </c>
    </row>
    <row r="107" spans="2:12" ht="16.5" thickBot="1" x14ac:dyDescent="0.3">
      <c r="B107" s="770" t="s">
        <v>673</v>
      </c>
      <c r="C107" s="771"/>
      <c r="D107" s="771"/>
      <c r="E107" s="771"/>
      <c r="F107" s="772"/>
    </row>
    <row r="108" spans="2:12" ht="12.75" customHeight="1" x14ac:dyDescent="0.25">
      <c r="B108" s="779"/>
      <c r="C108" s="574">
        <v>2018</v>
      </c>
      <c r="D108" s="574">
        <v>2019</v>
      </c>
      <c r="E108" s="574">
        <v>2020</v>
      </c>
      <c r="F108" s="574">
        <v>2021</v>
      </c>
    </row>
    <row r="109" spans="2:12" ht="18.75" customHeight="1" thickBot="1" x14ac:dyDescent="0.3">
      <c r="B109" s="780"/>
      <c r="C109" s="575" t="s">
        <v>10</v>
      </c>
      <c r="D109" s="575" t="s">
        <v>11</v>
      </c>
      <c r="E109" s="575" t="s">
        <v>11</v>
      </c>
      <c r="F109" s="575" t="s">
        <v>11</v>
      </c>
    </row>
    <row r="110" spans="2:12" ht="16.5" thickBot="1" x14ac:dyDescent="0.3">
      <c r="B110" s="50" t="s">
        <v>58</v>
      </c>
      <c r="C110" s="579"/>
      <c r="D110" s="579"/>
      <c r="E110" s="579"/>
      <c r="F110" s="579"/>
    </row>
    <row r="111" spans="2:12" ht="16.5" thickBot="1" x14ac:dyDescent="0.3">
      <c r="B111" s="50" t="s">
        <v>59</v>
      </c>
      <c r="C111" s="580">
        <v>2500</v>
      </c>
      <c r="D111" s="579"/>
      <c r="E111" s="579"/>
      <c r="F111" s="579"/>
    </row>
    <row r="112" spans="2:12" ht="16.5" thickBot="1" x14ac:dyDescent="0.3">
      <c r="B112" s="52" t="s">
        <v>40</v>
      </c>
      <c r="C112" s="580">
        <f>C111+C110</f>
        <v>2500</v>
      </c>
      <c r="D112" s="580">
        <f>D111+D110</f>
        <v>0</v>
      </c>
      <c r="E112" s="580">
        <f>E111+E110</f>
        <v>0</v>
      </c>
      <c r="F112" s="580">
        <f>F111+F110</f>
        <v>0</v>
      </c>
    </row>
    <row r="113" spans="2:12" x14ac:dyDescent="0.25">
      <c r="B113" s="779" t="s">
        <v>60</v>
      </c>
      <c r="C113" s="795"/>
      <c r="D113" s="796"/>
      <c r="E113" s="796"/>
      <c r="F113" s="797"/>
    </row>
    <row r="114" spans="2:12" x14ac:dyDescent="0.25">
      <c r="B114" s="794"/>
      <c r="C114" s="798"/>
      <c r="D114" s="799"/>
      <c r="E114" s="799"/>
      <c r="F114" s="800"/>
    </row>
    <row r="115" spans="2:12" ht="15.75" thickBot="1" x14ac:dyDescent="0.3">
      <c r="B115" s="780"/>
      <c r="C115" s="801"/>
      <c r="D115" s="802"/>
      <c r="E115" s="802"/>
      <c r="F115" s="803"/>
    </row>
    <row r="116" spans="2:12" ht="16.5" thickBot="1" x14ac:dyDescent="0.3">
      <c r="B116" s="583" t="s">
        <v>938</v>
      </c>
      <c r="C116" s="791" t="s">
        <v>939</v>
      </c>
      <c r="D116" s="792"/>
      <c r="E116" s="792"/>
      <c r="F116" s="793"/>
    </row>
    <row r="117" spans="2:12" ht="16.5" thickBot="1" x14ac:dyDescent="0.3">
      <c r="B117" s="43" t="s">
        <v>42</v>
      </c>
      <c r="C117" s="787" t="s">
        <v>940</v>
      </c>
      <c r="D117" s="777"/>
      <c r="E117" s="777"/>
      <c r="F117" s="778"/>
    </row>
    <row r="118" spans="2:12" ht="31.5" customHeight="1" thickBot="1" x14ac:dyDescent="0.3">
      <c r="B118" s="40" t="s">
        <v>17</v>
      </c>
      <c r="C118" s="767" t="s">
        <v>941</v>
      </c>
      <c r="D118" s="768"/>
      <c r="E118" s="768"/>
      <c r="F118" s="769"/>
    </row>
    <row r="119" spans="2:12" ht="16.5" thickBot="1" x14ac:dyDescent="0.3">
      <c r="B119" s="40" t="s">
        <v>18</v>
      </c>
      <c r="C119" s="788" t="s">
        <v>942</v>
      </c>
      <c r="D119" s="789"/>
      <c r="E119" s="789"/>
      <c r="F119" s="790"/>
    </row>
    <row r="120" spans="2:12" ht="12.75" customHeight="1" x14ac:dyDescent="0.25">
      <c r="B120" s="779"/>
      <c r="C120" s="574">
        <v>2018</v>
      </c>
      <c r="D120" s="574">
        <v>2019</v>
      </c>
      <c r="E120" s="574">
        <v>2020</v>
      </c>
      <c r="F120" s="574">
        <v>2021</v>
      </c>
    </row>
    <row r="121" spans="2:12" ht="15.75" customHeight="1" thickBot="1" x14ac:dyDescent="0.3">
      <c r="B121" s="780"/>
      <c r="C121" s="575" t="s">
        <v>10</v>
      </c>
      <c r="D121" s="575" t="s">
        <v>11</v>
      </c>
      <c r="E121" s="575" t="s">
        <v>11</v>
      </c>
      <c r="F121" s="575" t="s">
        <v>11</v>
      </c>
    </row>
    <row r="122" spans="2:12" ht="16.5" thickBot="1" x14ac:dyDescent="0.3">
      <c r="B122" s="40" t="s">
        <v>19</v>
      </c>
      <c r="C122" s="576">
        <v>1</v>
      </c>
      <c r="D122" s="576"/>
      <c r="E122" s="576"/>
      <c r="F122" s="576"/>
    </row>
    <row r="123" spans="2:12" ht="16.5" thickBot="1" x14ac:dyDescent="0.3">
      <c r="B123" s="40" t="s">
        <v>20</v>
      </c>
      <c r="C123" s="576">
        <v>3500</v>
      </c>
      <c r="D123" s="576"/>
      <c r="E123" s="576"/>
      <c r="F123" s="576"/>
    </row>
    <row r="124" spans="2:12" ht="16.5" thickBot="1" x14ac:dyDescent="0.3">
      <c r="B124" s="40" t="s">
        <v>21</v>
      </c>
      <c r="C124" s="576">
        <f>C123/C122</f>
        <v>3500</v>
      </c>
      <c r="D124" s="576" t="e">
        <f>D123/D122</f>
        <v>#DIV/0!</v>
      </c>
      <c r="E124" s="576" t="e">
        <f>E123/E122</f>
        <v>#DIV/0!</v>
      </c>
      <c r="F124" s="576" t="e">
        <f>F123/F122</f>
        <v>#DIV/0!</v>
      </c>
    </row>
    <row r="125" spans="2:12" ht="16.5" thickBot="1" x14ac:dyDescent="0.3">
      <c r="B125" s="40" t="s">
        <v>22</v>
      </c>
      <c r="C125" s="40" t="s">
        <v>23</v>
      </c>
      <c r="D125" s="577">
        <f>D122/C122-1</f>
        <v>-1</v>
      </c>
      <c r="E125" s="577" t="e">
        <f t="shared" ref="E125:F127" si="4">E122/D122-1</f>
        <v>#DIV/0!</v>
      </c>
      <c r="F125" s="577" t="e">
        <f t="shared" si="4"/>
        <v>#DIV/0!</v>
      </c>
      <c r="H125" s="578"/>
      <c r="I125" s="578"/>
      <c r="J125" s="578"/>
      <c r="K125" s="578"/>
      <c r="L125" s="578"/>
    </row>
    <row r="126" spans="2:12" ht="16.5" thickBot="1" x14ac:dyDescent="0.3">
      <c r="B126" s="40" t="s">
        <v>24</v>
      </c>
      <c r="C126" s="40" t="s">
        <v>23</v>
      </c>
      <c r="D126" s="577">
        <f>D123/C123-1</f>
        <v>-1</v>
      </c>
      <c r="E126" s="577" t="e">
        <f t="shared" si="4"/>
        <v>#DIV/0!</v>
      </c>
      <c r="F126" s="577" t="e">
        <f t="shared" si="4"/>
        <v>#DIV/0!</v>
      </c>
    </row>
    <row r="127" spans="2:12" ht="16.5" thickBot="1" x14ac:dyDescent="0.3">
      <c r="B127" s="40" t="s">
        <v>25</v>
      </c>
      <c r="C127" s="40" t="s">
        <v>23</v>
      </c>
      <c r="D127" s="577" t="e">
        <f>D124/C124-1</f>
        <v>#DIV/0!</v>
      </c>
      <c r="E127" s="577" t="e">
        <f t="shared" si="4"/>
        <v>#DIV/0!</v>
      </c>
      <c r="F127" s="577" t="e">
        <f t="shared" si="4"/>
        <v>#DIV/0!</v>
      </c>
    </row>
    <row r="128" spans="2:12" ht="16.5" thickBot="1" x14ac:dyDescent="0.3">
      <c r="B128" s="770" t="s">
        <v>943</v>
      </c>
      <c r="C128" s="771"/>
      <c r="D128" s="771"/>
      <c r="E128" s="771"/>
      <c r="F128" s="772"/>
    </row>
    <row r="129" spans="2:6" ht="12.75" customHeight="1" x14ac:dyDescent="0.25">
      <c r="B129" s="779"/>
      <c r="C129" s="574">
        <v>2018</v>
      </c>
      <c r="D129" s="574">
        <v>2019</v>
      </c>
      <c r="E129" s="574">
        <v>2020</v>
      </c>
      <c r="F129" s="574">
        <v>2021</v>
      </c>
    </row>
    <row r="130" spans="2:6" ht="16.5" customHeight="1" thickBot="1" x14ac:dyDescent="0.3">
      <c r="B130" s="780"/>
      <c r="C130" s="575" t="s">
        <v>10</v>
      </c>
      <c r="D130" s="575" t="s">
        <v>11</v>
      </c>
      <c r="E130" s="575" t="s">
        <v>11</v>
      </c>
      <c r="F130" s="575" t="s">
        <v>11</v>
      </c>
    </row>
    <row r="131" spans="2:6" ht="16.5" thickBot="1" x14ac:dyDescent="0.3">
      <c r="B131" s="50" t="s">
        <v>58</v>
      </c>
      <c r="C131" s="579"/>
      <c r="D131" s="579"/>
      <c r="E131" s="579"/>
      <c r="F131" s="579"/>
    </row>
    <row r="132" spans="2:6" ht="16.5" thickBot="1" x14ac:dyDescent="0.3">
      <c r="B132" s="50" t="s">
        <v>59</v>
      </c>
      <c r="C132" s="580">
        <v>3500</v>
      </c>
      <c r="D132" s="579"/>
      <c r="E132" s="579"/>
      <c r="F132" s="579"/>
    </row>
    <row r="133" spans="2:6" ht="16.5" thickBot="1" x14ac:dyDescent="0.3">
      <c r="B133" s="52" t="s">
        <v>43</v>
      </c>
      <c r="C133" s="580">
        <f>C132+C131</f>
        <v>3500</v>
      </c>
      <c r="D133" s="580">
        <f>D132+D131</f>
        <v>0</v>
      </c>
      <c r="E133" s="580">
        <f>E132+E131</f>
        <v>0</v>
      </c>
      <c r="F133" s="580">
        <f>F132+F131</f>
        <v>0</v>
      </c>
    </row>
    <row r="134" spans="2:6" x14ac:dyDescent="0.25">
      <c r="B134" s="779" t="s">
        <v>60</v>
      </c>
      <c r="C134" s="795"/>
      <c r="D134" s="796"/>
      <c r="E134" s="796"/>
      <c r="F134" s="797"/>
    </row>
    <row r="135" spans="2:6" x14ac:dyDescent="0.25">
      <c r="B135" s="794"/>
      <c r="C135" s="798"/>
      <c r="D135" s="799"/>
      <c r="E135" s="799"/>
      <c r="F135" s="800"/>
    </row>
    <row r="136" spans="2:6" ht="15.75" thickBot="1" x14ac:dyDescent="0.3">
      <c r="B136" s="780"/>
      <c r="C136" s="801"/>
      <c r="D136" s="802"/>
      <c r="E136" s="802"/>
      <c r="F136" s="803"/>
    </row>
    <row r="137" spans="2:6" ht="16.5" thickBot="1" x14ac:dyDescent="0.3">
      <c r="B137" s="583" t="s">
        <v>944</v>
      </c>
      <c r="C137" s="791" t="s">
        <v>945</v>
      </c>
      <c r="D137" s="792"/>
      <c r="E137" s="792"/>
      <c r="F137" s="793"/>
    </row>
    <row r="138" spans="2:6" ht="16.5" thickBot="1" x14ac:dyDescent="0.3">
      <c r="B138" s="43" t="s">
        <v>44</v>
      </c>
      <c r="C138" s="787" t="s">
        <v>946</v>
      </c>
      <c r="D138" s="777"/>
      <c r="E138" s="777"/>
      <c r="F138" s="778"/>
    </row>
    <row r="139" spans="2:6" ht="28.5" customHeight="1" thickBot="1" x14ac:dyDescent="0.3">
      <c r="B139" s="40" t="s">
        <v>17</v>
      </c>
      <c r="C139" s="767" t="s">
        <v>947</v>
      </c>
      <c r="D139" s="768"/>
      <c r="E139" s="768"/>
      <c r="F139" s="769"/>
    </row>
    <row r="140" spans="2:6" ht="16.5" thickBot="1" x14ac:dyDescent="0.3">
      <c r="B140" s="40" t="s">
        <v>18</v>
      </c>
      <c r="C140" s="788" t="s">
        <v>942</v>
      </c>
      <c r="D140" s="789"/>
      <c r="E140" s="789"/>
      <c r="F140" s="790"/>
    </row>
    <row r="141" spans="2:6" ht="12.75" customHeight="1" x14ac:dyDescent="0.25">
      <c r="B141" s="779"/>
      <c r="C141" s="574">
        <v>2018</v>
      </c>
      <c r="D141" s="574">
        <v>2019</v>
      </c>
      <c r="E141" s="574">
        <v>2020</v>
      </c>
      <c r="F141" s="574">
        <v>2021</v>
      </c>
    </row>
    <row r="142" spans="2:6" ht="15.75" customHeight="1" thickBot="1" x14ac:dyDescent="0.3">
      <c r="B142" s="780"/>
      <c r="C142" s="575" t="s">
        <v>10</v>
      </c>
      <c r="D142" s="575" t="s">
        <v>11</v>
      </c>
      <c r="E142" s="575" t="s">
        <v>11</v>
      </c>
      <c r="F142" s="575" t="s">
        <v>11</v>
      </c>
    </row>
    <row r="143" spans="2:6" ht="16.5" thickBot="1" x14ac:dyDescent="0.3">
      <c r="B143" s="40" t="s">
        <v>19</v>
      </c>
      <c r="C143" s="576">
        <v>1</v>
      </c>
      <c r="D143" s="576"/>
      <c r="E143" s="576"/>
      <c r="F143" s="576"/>
    </row>
    <row r="144" spans="2:6" ht="16.5" thickBot="1" x14ac:dyDescent="0.3">
      <c r="B144" s="40" t="s">
        <v>20</v>
      </c>
      <c r="C144" s="576">
        <v>10000</v>
      </c>
      <c r="D144" s="576"/>
      <c r="E144" s="576"/>
      <c r="F144" s="576"/>
    </row>
    <row r="145" spans="2:12" ht="16.5" thickBot="1" x14ac:dyDescent="0.3">
      <c r="B145" s="40" t="s">
        <v>21</v>
      </c>
      <c r="C145" s="576">
        <f>C144/C143</f>
        <v>10000</v>
      </c>
      <c r="D145" s="576" t="e">
        <f>D144/D143</f>
        <v>#DIV/0!</v>
      </c>
      <c r="E145" s="576" t="e">
        <f>E144/E143</f>
        <v>#DIV/0!</v>
      </c>
      <c r="F145" s="576" t="e">
        <f>F144/F143</f>
        <v>#DIV/0!</v>
      </c>
    </row>
    <row r="146" spans="2:12" ht="16.5" thickBot="1" x14ac:dyDescent="0.3">
      <c r="B146" s="40" t="s">
        <v>22</v>
      </c>
      <c r="C146" s="40" t="s">
        <v>23</v>
      </c>
      <c r="D146" s="577">
        <f>D143/C143-1</f>
        <v>-1</v>
      </c>
      <c r="E146" s="577" t="e">
        <f t="shared" ref="E146:F148" si="5">E143/D143-1</f>
        <v>#DIV/0!</v>
      </c>
      <c r="F146" s="577" t="e">
        <f t="shared" si="5"/>
        <v>#DIV/0!</v>
      </c>
      <c r="H146" s="578"/>
      <c r="I146" s="578"/>
      <c r="J146" s="578"/>
      <c r="K146" s="578"/>
      <c r="L146" s="578"/>
    </row>
    <row r="147" spans="2:12" ht="16.5" thickBot="1" x14ac:dyDescent="0.3">
      <c r="B147" s="40" t="s">
        <v>24</v>
      </c>
      <c r="C147" s="40" t="s">
        <v>23</v>
      </c>
      <c r="D147" s="577">
        <f>D144/C144-1</f>
        <v>-1</v>
      </c>
      <c r="E147" s="577" t="e">
        <f t="shared" si="5"/>
        <v>#DIV/0!</v>
      </c>
      <c r="F147" s="577" t="e">
        <f t="shared" si="5"/>
        <v>#DIV/0!</v>
      </c>
    </row>
    <row r="148" spans="2:12" ht="16.5" thickBot="1" x14ac:dyDescent="0.3">
      <c r="B148" s="40" t="s">
        <v>25</v>
      </c>
      <c r="C148" s="40" t="s">
        <v>23</v>
      </c>
      <c r="D148" s="577" t="e">
        <f>D145/C145-1</f>
        <v>#DIV/0!</v>
      </c>
      <c r="E148" s="577" t="e">
        <f t="shared" si="5"/>
        <v>#DIV/0!</v>
      </c>
      <c r="F148" s="577" t="e">
        <f t="shared" si="5"/>
        <v>#DIV/0!</v>
      </c>
    </row>
    <row r="149" spans="2:12" ht="16.5" thickBot="1" x14ac:dyDescent="0.3">
      <c r="B149" s="770" t="s">
        <v>673</v>
      </c>
      <c r="C149" s="771"/>
      <c r="D149" s="771"/>
      <c r="E149" s="771"/>
      <c r="F149" s="772"/>
    </row>
    <row r="150" spans="2:12" ht="12.75" customHeight="1" x14ac:dyDescent="0.25">
      <c r="B150" s="779"/>
      <c r="C150" s="574">
        <v>2018</v>
      </c>
      <c r="D150" s="574">
        <v>2019</v>
      </c>
      <c r="E150" s="574">
        <v>2020</v>
      </c>
      <c r="F150" s="574">
        <v>2021</v>
      </c>
    </row>
    <row r="151" spans="2:12" ht="15" customHeight="1" thickBot="1" x14ac:dyDescent="0.3">
      <c r="B151" s="780"/>
      <c r="C151" s="575" t="s">
        <v>10</v>
      </c>
      <c r="D151" s="575" t="s">
        <v>11</v>
      </c>
      <c r="E151" s="575" t="s">
        <v>11</v>
      </c>
      <c r="F151" s="575" t="s">
        <v>11</v>
      </c>
    </row>
    <row r="152" spans="2:12" ht="16.5" thickBot="1" x14ac:dyDescent="0.3">
      <c r="B152" s="50" t="s">
        <v>58</v>
      </c>
      <c r="C152" s="579"/>
      <c r="D152" s="579"/>
      <c r="E152" s="579"/>
      <c r="F152" s="579"/>
    </row>
    <row r="153" spans="2:12" ht="16.5" thickBot="1" x14ac:dyDescent="0.3">
      <c r="B153" s="50" t="s">
        <v>59</v>
      </c>
      <c r="C153" s="580">
        <v>10000</v>
      </c>
      <c r="D153" s="579"/>
      <c r="E153" s="579"/>
      <c r="F153" s="579"/>
    </row>
    <row r="154" spans="2:12" ht="16.5" thickBot="1" x14ac:dyDescent="0.3">
      <c r="B154" s="52" t="s">
        <v>52</v>
      </c>
      <c r="C154" s="580">
        <f>C153+C152</f>
        <v>10000</v>
      </c>
      <c r="D154" s="580">
        <f>D153+D152</f>
        <v>0</v>
      </c>
      <c r="E154" s="580">
        <f>E153+E152</f>
        <v>0</v>
      </c>
      <c r="F154" s="580">
        <f>F153+F152</f>
        <v>0</v>
      </c>
    </row>
    <row r="155" spans="2:12" ht="16.5" thickBot="1" x14ac:dyDescent="0.3">
      <c r="B155" s="584" t="s">
        <v>61</v>
      </c>
      <c r="C155" s="791" t="s">
        <v>948</v>
      </c>
      <c r="D155" s="792"/>
      <c r="E155" s="792"/>
      <c r="F155" s="793"/>
    </row>
    <row r="156" spans="2:12" ht="16.5" thickBot="1" x14ac:dyDescent="0.3">
      <c r="B156" s="43" t="s">
        <v>53</v>
      </c>
      <c r="C156" s="787" t="s">
        <v>949</v>
      </c>
      <c r="D156" s="777"/>
      <c r="E156" s="777"/>
      <c r="F156" s="778"/>
    </row>
    <row r="157" spans="2:12" ht="17.25" customHeight="1" thickBot="1" x14ac:dyDescent="0.3">
      <c r="B157" s="40" t="s">
        <v>17</v>
      </c>
      <c r="C157" s="791" t="s">
        <v>948</v>
      </c>
      <c r="D157" s="792"/>
      <c r="E157" s="792"/>
      <c r="F157" s="793"/>
    </row>
    <row r="158" spans="2:12" ht="16.5" thickBot="1" x14ac:dyDescent="0.3">
      <c r="B158" s="40" t="s">
        <v>18</v>
      </c>
      <c r="C158" s="788" t="s">
        <v>950</v>
      </c>
      <c r="D158" s="789"/>
      <c r="E158" s="789"/>
      <c r="F158" s="790"/>
    </row>
    <row r="159" spans="2:12" ht="12.75" customHeight="1" x14ac:dyDescent="0.25">
      <c r="B159" s="779"/>
      <c r="C159" s="574">
        <v>2018</v>
      </c>
      <c r="D159" s="574">
        <v>2019</v>
      </c>
      <c r="E159" s="574">
        <v>2020</v>
      </c>
      <c r="F159" s="574">
        <v>2021</v>
      </c>
    </row>
    <row r="160" spans="2:12" ht="12.75" customHeight="1" thickBot="1" x14ac:dyDescent="0.3">
      <c r="B160" s="780"/>
      <c r="C160" s="575" t="s">
        <v>10</v>
      </c>
      <c r="D160" s="575" t="s">
        <v>11</v>
      </c>
      <c r="E160" s="575" t="s">
        <v>11</v>
      </c>
      <c r="F160" s="575" t="s">
        <v>11</v>
      </c>
    </row>
    <row r="161" spans="2:12" ht="16.5" thickBot="1" x14ac:dyDescent="0.3">
      <c r="B161" s="40" t="s">
        <v>19</v>
      </c>
      <c r="C161" s="576">
        <v>0</v>
      </c>
      <c r="D161" s="576">
        <v>20</v>
      </c>
      <c r="E161" s="576">
        <v>20</v>
      </c>
      <c r="F161" s="576">
        <v>20</v>
      </c>
    </row>
    <row r="162" spans="2:12" ht="16.5" thickBot="1" x14ac:dyDescent="0.3">
      <c r="B162" s="40" t="s">
        <v>20</v>
      </c>
      <c r="C162" s="576">
        <v>0</v>
      </c>
      <c r="D162" s="576">
        <v>3000</v>
      </c>
      <c r="E162" s="576">
        <v>3000</v>
      </c>
      <c r="F162" s="576">
        <v>3000</v>
      </c>
    </row>
    <row r="163" spans="2:12" ht="16.5" thickBot="1" x14ac:dyDescent="0.3">
      <c r="B163" s="40" t="s">
        <v>21</v>
      </c>
      <c r="C163" s="576" t="e">
        <f>C162/C161</f>
        <v>#DIV/0!</v>
      </c>
      <c r="D163" s="576">
        <f>D162/D161</f>
        <v>150</v>
      </c>
      <c r="E163" s="576">
        <f>E162/E161</f>
        <v>150</v>
      </c>
      <c r="F163" s="576">
        <f>F162/F161</f>
        <v>150</v>
      </c>
    </row>
    <row r="164" spans="2:12" ht="16.5" thickBot="1" x14ac:dyDescent="0.3">
      <c r="B164" s="40" t="s">
        <v>22</v>
      </c>
      <c r="C164" s="40" t="s">
        <v>23</v>
      </c>
      <c r="D164" s="577" t="e">
        <f>D161/C161-1</f>
        <v>#DIV/0!</v>
      </c>
      <c r="E164" s="577">
        <f t="shared" ref="E164:F166" si="6">E161/D161-1</f>
        <v>0</v>
      </c>
      <c r="F164" s="577">
        <f t="shared" si="6"/>
        <v>0</v>
      </c>
      <c r="H164" s="578"/>
      <c r="I164" s="578"/>
      <c r="J164" s="578"/>
      <c r="K164" s="578"/>
      <c r="L164" s="578"/>
    </row>
    <row r="165" spans="2:12" ht="16.5" thickBot="1" x14ac:dyDescent="0.3">
      <c r="B165" s="40" t="s">
        <v>24</v>
      </c>
      <c r="C165" s="40" t="s">
        <v>23</v>
      </c>
      <c r="D165" s="577" t="e">
        <f>D162/C162-1</f>
        <v>#DIV/0!</v>
      </c>
      <c r="E165" s="577">
        <f t="shared" si="6"/>
        <v>0</v>
      </c>
      <c r="F165" s="577">
        <f t="shared" si="6"/>
        <v>0</v>
      </c>
    </row>
    <row r="166" spans="2:12" ht="16.5" thickBot="1" x14ac:dyDescent="0.3">
      <c r="B166" s="40" t="s">
        <v>25</v>
      </c>
      <c r="C166" s="40" t="s">
        <v>23</v>
      </c>
      <c r="D166" s="577" t="e">
        <f>D163/C163-1</f>
        <v>#DIV/0!</v>
      </c>
      <c r="E166" s="577">
        <f t="shared" si="6"/>
        <v>0</v>
      </c>
      <c r="F166" s="577">
        <f t="shared" si="6"/>
        <v>0</v>
      </c>
    </row>
    <row r="167" spans="2:12" ht="16.5" thickBot="1" x14ac:dyDescent="0.3">
      <c r="B167" s="770" t="s">
        <v>951</v>
      </c>
      <c r="C167" s="771"/>
      <c r="D167" s="771"/>
      <c r="E167" s="771"/>
      <c r="F167" s="772"/>
    </row>
    <row r="168" spans="2:12" ht="12.75" customHeight="1" x14ac:dyDescent="0.25">
      <c r="B168" s="779"/>
      <c r="C168" s="574">
        <v>2018</v>
      </c>
      <c r="D168" s="574">
        <v>2019</v>
      </c>
      <c r="E168" s="574">
        <v>2020</v>
      </c>
      <c r="F168" s="574">
        <v>2021</v>
      </c>
    </row>
    <row r="169" spans="2:12" ht="15" customHeight="1" thickBot="1" x14ac:dyDescent="0.3">
      <c r="B169" s="780"/>
      <c r="C169" s="575" t="s">
        <v>10</v>
      </c>
      <c r="D169" s="575" t="s">
        <v>11</v>
      </c>
      <c r="E169" s="575" t="s">
        <v>11</v>
      </c>
      <c r="F169" s="575" t="s">
        <v>11</v>
      </c>
    </row>
    <row r="170" spans="2:12" ht="16.5" thickBot="1" x14ac:dyDescent="0.3">
      <c r="B170" s="50" t="s">
        <v>58</v>
      </c>
      <c r="C170" s="579"/>
      <c r="D170" s="579"/>
      <c r="E170" s="579"/>
      <c r="F170" s="579"/>
    </row>
    <row r="171" spans="2:12" ht="16.5" thickBot="1" x14ac:dyDescent="0.3">
      <c r="B171" s="50" t="s">
        <v>59</v>
      </c>
      <c r="C171" s="580">
        <v>0</v>
      </c>
      <c r="D171" s="579">
        <v>3000</v>
      </c>
      <c r="E171" s="579">
        <v>3000</v>
      </c>
      <c r="F171" s="579">
        <v>3000</v>
      </c>
    </row>
    <row r="172" spans="2:12" ht="16.5" thickBot="1" x14ac:dyDescent="0.3">
      <c r="B172" s="52" t="s">
        <v>74</v>
      </c>
      <c r="C172" s="580">
        <f>C171+C170</f>
        <v>0</v>
      </c>
      <c r="D172" s="580">
        <f>D171+D170</f>
        <v>3000</v>
      </c>
      <c r="E172" s="580">
        <f>E171+E170</f>
        <v>3000</v>
      </c>
      <c r="F172" s="580">
        <f>F171+F170</f>
        <v>3000</v>
      </c>
    </row>
    <row r="173" spans="2:12" ht="16.5" thickBot="1" x14ac:dyDescent="0.3">
      <c r="B173" s="584" t="s">
        <v>61</v>
      </c>
      <c r="C173" s="791" t="s">
        <v>952</v>
      </c>
      <c r="D173" s="792"/>
      <c r="E173" s="792"/>
      <c r="F173" s="793"/>
    </row>
    <row r="174" spans="2:12" ht="16.5" thickBot="1" x14ac:dyDescent="0.3">
      <c r="B174" s="43" t="s">
        <v>724</v>
      </c>
      <c r="C174" s="787" t="s">
        <v>953</v>
      </c>
      <c r="D174" s="777"/>
      <c r="E174" s="777"/>
      <c r="F174" s="778"/>
    </row>
    <row r="175" spans="2:12" ht="16.5" thickBot="1" x14ac:dyDescent="0.3">
      <c r="B175" s="40" t="s">
        <v>17</v>
      </c>
      <c r="C175" s="791" t="s">
        <v>952</v>
      </c>
      <c r="D175" s="792"/>
      <c r="E175" s="792"/>
      <c r="F175" s="793"/>
    </row>
    <row r="176" spans="2:12" ht="16.5" thickBot="1" x14ac:dyDescent="0.3">
      <c r="B176" s="40" t="s">
        <v>18</v>
      </c>
      <c r="C176" s="788" t="s">
        <v>950</v>
      </c>
      <c r="D176" s="789"/>
      <c r="E176" s="789"/>
      <c r="F176" s="790"/>
    </row>
    <row r="177" spans="2:6" ht="15.75" x14ac:dyDescent="0.25">
      <c r="B177" s="779"/>
      <c r="C177" s="574">
        <v>2018</v>
      </c>
      <c r="D177" s="574">
        <v>2019</v>
      </c>
      <c r="E177" s="574">
        <v>2020</v>
      </c>
      <c r="F177" s="574">
        <v>2021</v>
      </c>
    </row>
    <row r="178" spans="2:6" ht="16.5" thickBot="1" x14ac:dyDescent="0.3">
      <c r="B178" s="780"/>
      <c r="C178" s="575" t="s">
        <v>10</v>
      </c>
      <c r="D178" s="575" t="s">
        <v>11</v>
      </c>
      <c r="E178" s="575" t="s">
        <v>11</v>
      </c>
      <c r="F178" s="575" t="s">
        <v>11</v>
      </c>
    </row>
    <row r="179" spans="2:6" ht="16.5" thickBot="1" x14ac:dyDescent="0.3">
      <c r="B179" s="40" t="s">
        <v>19</v>
      </c>
      <c r="C179" s="576">
        <v>0</v>
      </c>
      <c r="D179" s="576">
        <v>30</v>
      </c>
      <c r="E179" s="576">
        <v>30</v>
      </c>
      <c r="F179" s="576">
        <v>30</v>
      </c>
    </row>
    <row r="180" spans="2:6" ht="16.5" thickBot="1" x14ac:dyDescent="0.3">
      <c r="B180" s="40" t="s">
        <v>20</v>
      </c>
      <c r="C180" s="576">
        <v>0</v>
      </c>
      <c r="D180" s="576">
        <v>3000</v>
      </c>
      <c r="E180" s="576">
        <v>3000</v>
      </c>
      <c r="F180" s="576">
        <v>3000</v>
      </c>
    </row>
    <row r="181" spans="2:6" ht="16.5" thickBot="1" x14ac:dyDescent="0.3">
      <c r="B181" s="40" t="s">
        <v>21</v>
      </c>
      <c r="C181" s="576" t="e">
        <f>C180/C179</f>
        <v>#DIV/0!</v>
      </c>
      <c r="D181" s="576">
        <f>D180/D179</f>
        <v>100</v>
      </c>
      <c r="E181" s="576">
        <f>E180/E179</f>
        <v>100</v>
      </c>
      <c r="F181" s="576">
        <f>F180/F179</f>
        <v>100</v>
      </c>
    </row>
    <row r="182" spans="2:6" ht="16.5" thickBot="1" x14ac:dyDescent="0.3">
      <c r="B182" s="40" t="s">
        <v>22</v>
      </c>
      <c r="C182" s="40" t="s">
        <v>23</v>
      </c>
      <c r="D182" s="577" t="e">
        <f t="shared" ref="D182:F184" si="7">D179/C179-1</f>
        <v>#DIV/0!</v>
      </c>
      <c r="E182" s="577">
        <f t="shared" si="7"/>
        <v>0</v>
      </c>
      <c r="F182" s="577">
        <f t="shared" si="7"/>
        <v>0</v>
      </c>
    </row>
    <row r="183" spans="2:6" ht="16.5" thickBot="1" x14ac:dyDescent="0.3">
      <c r="B183" s="40" t="s">
        <v>24</v>
      </c>
      <c r="C183" s="40" t="s">
        <v>23</v>
      </c>
      <c r="D183" s="577" t="e">
        <f t="shared" si="7"/>
        <v>#DIV/0!</v>
      </c>
      <c r="E183" s="577">
        <f t="shared" si="7"/>
        <v>0</v>
      </c>
      <c r="F183" s="577">
        <f t="shared" si="7"/>
        <v>0</v>
      </c>
    </row>
    <row r="184" spans="2:6" ht="16.5" thickBot="1" x14ac:dyDescent="0.3">
      <c r="B184" s="40" t="s">
        <v>25</v>
      </c>
      <c r="C184" s="40" t="s">
        <v>23</v>
      </c>
      <c r="D184" s="577" t="e">
        <f t="shared" si="7"/>
        <v>#DIV/0!</v>
      </c>
      <c r="E184" s="577">
        <f t="shared" si="7"/>
        <v>0</v>
      </c>
      <c r="F184" s="577">
        <f t="shared" si="7"/>
        <v>0</v>
      </c>
    </row>
    <row r="185" spans="2:6" ht="16.5" thickBot="1" x14ac:dyDescent="0.3">
      <c r="B185" s="770" t="s">
        <v>954</v>
      </c>
      <c r="C185" s="771"/>
      <c r="D185" s="771"/>
      <c r="E185" s="771"/>
      <c r="F185" s="772"/>
    </row>
    <row r="186" spans="2:6" ht="15.75" x14ac:dyDescent="0.25">
      <c r="B186" s="779"/>
      <c r="C186" s="574">
        <v>2018</v>
      </c>
      <c r="D186" s="574">
        <v>2019</v>
      </c>
      <c r="E186" s="574">
        <v>2020</v>
      </c>
      <c r="F186" s="574">
        <v>2021</v>
      </c>
    </row>
    <row r="187" spans="2:6" ht="16.5" thickBot="1" x14ac:dyDescent="0.3">
      <c r="B187" s="780"/>
      <c r="C187" s="575" t="s">
        <v>10</v>
      </c>
      <c r="D187" s="575" t="s">
        <v>11</v>
      </c>
      <c r="E187" s="575" t="s">
        <v>11</v>
      </c>
      <c r="F187" s="575" t="s">
        <v>11</v>
      </c>
    </row>
    <row r="188" spans="2:6" ht="16.5" thickBot="1" x14ac:dyDescent="0.3">
      <c r="B188" s="50" t="s">
        <v>58</v>
      </c>
      <c r="C188" s="579"/>
      <c r="D188" s="579"/>
      <c r="E188" s="579"/>
      <c r="F188" s="579"/>
    </row>
    <row r="189" spans="2:6" ht="16.5" thickBot="1" x14ac:dyDescent="0.3">
      <c r="B189" s="50" t="s">
        <v>59</v>
      </c>
      <c r="C189" s="580">
        <v>0</v>
      </c>
      <c r="D189" s="579">
        <v>3000</v>
      </c>
      <c r="E189" s="579">
        <v>3000</v>
      </c>
      <c r="F189" s="579">
        <v>3000</v>
      </c>
    </row>
    <row r="190" spans="2:6" ht="16.5" thickBot="1" x14ac:dyDescent="0.3">
      <c r="B190" s="585" t="s">
        <v>74</v>
      </c>
      <c r="C190" s="580">
        <f>C189+C188</f>
        <v>0</v>
      </c>
      <c r="D190" s="580">
        <f>D189+D188</f>
        <v>3000</v>
      </c>
      <c r="E190" s="580">
        <f>E189+E188</f>
        <v>3000</v>
      </c>
      <c r="F190" s="580">
        <f>F189+F188</f>
        <v>3000</v>
      </c>
    </row>
    <row r="191" spans="2:6" ht="17.25" customHeight="1" thickBot="1" x14ac:dyDescent="0.3">
      <c r="B191" s="586"/>
      <c r="C191" s="587"/>
      <c r="D191" s="587"/>
      <c r="E191" s="587"/>
      <c r="F191" s="587"/>
    </row>
    <row r="192" spans="2:6" ht="42.75" customHeight="1" thickBot="1" x14ac:dyDescent="0.3">
      <c r="B192" s="583" t="s">
        <v>82</v>
      </c>
      <c r="C192" s="588">
        <f>C190+C172+C154+C133+C112+C91+C66+C41</f>
        <v>247500</v>
      </c>
      <c r="D192" s="588">
        <f>D190+D172+D154+D133+D112+D91+D66+D41</f>
        <v>246000</v>
      </c>
      <c r="E192" s="588">
        <f>E190+E172+E154+E133+E112+E91+E66+E41</f>
        <v>251000</v>
      </c>
      <c r="F192" s="588">
        <f>F190+F172+F154+F133+F112+F91+F66+F41</f>
        <v>256000</v>
      </c>
    </row>
    <row r="193" spans="2:6" ht="38.25" customHeight="1" thickBot="1" x14ac:dyDescent="0.3">
      <c r="B193" s="583" t="s">
        <v>83</v>
      </c>
      <c r="C193" s="588">
        <f>C195+C197+C199+C201</f>
        <v>247500</v>
      </c>
      <c r="D193" s="588">
        <f>D195+D197+D199+D201</f>
        <v>246000</v>
      </c>
      <c r="E193" s="588">
        <f>E195+E197+E199+E201</f>
        <v>251000</v>
      </c>
      <c r="F193" s="588">
        <f>F195+F197+F199+F201</f>
        <v>256000</v>
      </c>
    </row>
    <row r="194" spans="2:6" ht="32.25" thickBot="1" x14ac:dyDescent="0.3">
      <c r="B194" s="589" t="s">
        <v>84</v>
      </c>
      <c r="C194" s="590"/>
      <c r="D194" s="591">
        <f>D193/C193-1</f>
        <v>-6.0606060606060996E-3</v>
      </c>
      <c r="E194" s="591">
        <f>E193/D193-1</f>
        <v>2.0325203252032464E-2</v>
      </c>
      <c r="F194" s="591">
        <f>F193/E193-1</f>
        <v>1.9920318725099584E-2</v>
      </c>
    </row>
    <row r="195" spans="2:6" ht="16.5" thickBot="1" x14ac:dyDescent="0.3">
      <c r="B195" s="50" t="s">
        <v>26</v>
      </c>
      <c r="C195" s="579">
        <f>C88+C63+C38</f>
        <v>96700</v>
      </c>
      <c r="D195" s="579">
        <f>D88+D63+D38</f>
        <v>102199</v>
      </c>
      <c r="E195" s="579">
        <f>E88+E63+E38</f>
        <v>102200</v>
      </c>
      <c r="F195" s="579">
        <f>F88+F63+F38</f>
        <v>102200</v>
      </c>
    </row>
    <row r="196" spans="2:6" ht="16.5" thickBot="1" x14ac:dyDescent="0.3">
      <c r="B196" s="58" t="s">
        <v>85</v>
      </c>
      <c r="C196" s="580"/>
      <c r="D196" s="592">
        <f>D195/C195-1</f>
        <v>5.686659772492253E-2</v>
      </c>
      <c r="E196" s="592">
        <f>E195/D195-1</f>
        <v>9.7848315541160247E-6</v>
      </c>
      <c r="F196" s="592">
        <f>F195/E195-1</f>
        <v>0</v>
      </c>
    </row>
    <row r="197" spans="2:6" ht="32.25" thickBot="1" x14ac:dyDescent="0.3">
      <c r="B197" s="50" t="s">
        <v>28</v>
      </c>
      <c r="C197" s="579">
        <f>C89+C64+C39</f>
        <v>14800</v>
      </c>
      <c r="D197" s="579">
        <f>D89+D64+D39</f>
        <v>14801</v>
      </c>
      <c r="E197" s="579">
        <f>E89+E64+E39</f>
        <v>14800</v>
      </c>
      <c r="F197" s="579">
        <f>F89+F64+F39</f>
        <v>14800</v>
      </c>
    </row>
    <row r="198" spans="2:6" ht="32.25" thickBot="1" x14ac:dyDescent="0.3">
      <c r="B198" s="58" t="s">
        <v>86</v>
      </c>
      <c r="C198" s="580"/>
      <c r="D198" s="592">
        <f>D197/C197-1</f>
        <v>6.7567567567650144E-5</v>
      </c>
      <c r="E198" s="592">
        <f>E197/D197-1</f>
        <v>-6.7563002499881897E-5</v>
      </c>
      <c r="F198" s="592">
        <f>F197/E197-1</f>
        <v>0</v>
      </c>
    </row>
    <row r="199" spans="2:6" ht="16.5" thickBot="1" x14ac:dyDescent="0.3">
      <c r="B199" s="50" t="s">
        <v>30</v>
      </c>
      <c r="C199" s="579">
        <f>C90+C65+C40</f>
        <v>120000</v>
      </c>
      <c r="D199" s="579">
        <f>D90+D65+D40</f>
        <v>123000</v>
      </c>
      <c r="E199" s="579">
        <f>E90+E65+E40</f>
        <v>128000</v>
      </c>
      <c r="F199" s="579">
        <f>F90+F65+F40</f>
        <v>133000</v>
      </c>
    </row>
    <row r="200" spans="2:6" ht="32.25" thickBot="1" x14ac:dyDescent="0.3">
      <c r="B200" s="58" t="s">
        <v>87</v>
      </c>
      <c r="C200" s="580"/>
      <c r="D200" s="592">
        <f>D199/C199-1</f>
        <v>2.4999999999999911E-2</v>
      </c>
      <c r="E200" s="592">
        <f>E199/D199-1</f>
        <v>4.0650406504065151E-2</v>
      </c>
      <c r="F200" s="592">
        <f>F199/E199-1</f>
        <v>3.90625E-2</v>
      </c>
    </row>
    <row r="201" spans="2:6" ht="16.5" thickBot="1" x14ac:dyDescent="0.3">
      <c r="B201" s="50" t="s">
        <v>94</v>
      </c>
      <c r="C201" s="579">
        <f>C154+C133+C112</f>
        <v>16000</v>
      </c>
      <c r="D201" s="579">
        <f>D190+D172</f>
        <v>6000</v>
      </c>
      <c r="E201" s="579">
        <f>E190+E172</f>
        <v>6000</v>
      </c>
      <c r="F201" s="579">
        <f>F190+F172</f>
        <v>6000</v>
      </c>
    </row>
    <row r="202" spans="2:6" ht="32.25" thickBot="1" x14ac:dyDescent="0.3">
      <c r="B202" s="58" t="s">
        <v>95</v>
      </c>
      <c r="C202" s="580"/>
      <c r="D202" s="592">
        <f>D201/C201-1</f>
        <v>-0.625</v>
      </c>
      <c r="E202" s="592">
        <f>E201/D201-1</f>
        <v>0</v>
      </c>
      <c r="F202" s="592">
        <f>F201/E201-1</f>
        <v>0</v>
      </c>
    </row>
    <row r="203" spans="2:6" ht="16.5" thickBot="1" x14ac:dyDescent="0.3">
      <c r="B203" s="581" t="s">
        <v>41</v>
      </c>
      <c r="C203" s="582">
        <f>IF(C193-C192=0,0,)</f>
        <v>0</v>
      </c>
      <c r="D203" s="582">
        <f>IF(D193-D192=0,0,"Error")</f>
        <v>0</v>
      </c>
      <c r="E203" s="582">
        <f>IF(E193-E192=0,0,"Error")</f>
        <v>0</v>
      </c>
      <c r="F203" s="582">
        <f>IF(F193-F192=0,0,"Error")</f>
        <v>0</v>
      </c>
    </row>
    <row r="204" spans="2:6" ht="32.25" thickBot="1" x14ac:dyDescent="0.3">
      <c r="B204" s="60" t="s">
        <v>96</v>
      </c>
      <c r="C204" s="579">
        <v>86</v>
      </c>
      <c r="D204" s="579">
        <v>86</v>
      </c>
      <c r="E204" s="579">
        <v>86</v>
      </c>
      <c r="F204" s="579">
        <v>86</v>
      </c>
    </row>
    <row r="205" spans="2:6" ht="32.25" thickBot="1" x14ac:dyDescent="0.3">
      <c r="B205" s="60" t="s">
        <v>97</v>
      </c>
      <c r="C205" s="579">
        <v>3</v>
      </c>
      <c r="D205" s="579">
        <v>0</v>
      </c>
      <c r="E205" s="579">
        <v>0</v>
      </c>
      <c r="F205" s="579">
        <v>0</v>
      </c>
    </row>
    <row r="206" spans="2:6" x14ac:dyDescent="0.25">
      <c r="B206" s="31"/>
      <c r="C206" s="593"/>
      <c r="D206" s="593"/>
      <c r="E206" s="593"/>
      <c r="F206" s="593"/>
    </row>
    <row r="207" spans="2:6" x14ac:dyDescent="0.25">
      <c r="B207" s="31"/>
      <c r="C207" s="593"/>
      <c r="D207" s="593"/>
      <c r="E207" s="593"/>
      <c r="F207" s="593"/>
    </row>
  </sheetData>
  <mergeCells count="78">
    <mergeCell ref="B186:B187"/>
    <mergeCell ref="C157:F157"/>
    <mergeCell ref="C158:F158"/>
    <mergeCell ref="B159:B160"/>
    <mergeCell ref="B167:F167"/>
    <mergeCell ref="B168:B169"/>
    <mergeCell ref="C173:F173"/>
    <mergeCell ref="C174:F174"/>
    <mergeCell ref="C175:F175"/>
    <mergeCell ref="C176:F176"/>
    <mergeCell ref="B177:B178"/>
    <mergeCell ref="B185:F185"/>
    <mergeCell ref="C156:F156"/>
    <mergeCell ref="B129:B130"/>
    <mergeCell ref="B134:B136"/>
    <mergeCell ref="C134:F136"/>
    <mergeCell ref="C137:F137"/>
    <mergeCell ref="C138:F138"/>
    <mergeCell ref="C139:F139"/>
    <mergeCell ref="C140:F140"/>
    <mergeCell ref="B141:B142"/>
    <mergeCell ref="B149:F149"/>
    <mergeCell ref="B150:B151"/>
    <mergeCell ref="C155:F155"/>
    <mergeCell ref="B128:F128"/>
    <mergeCell ref="C98:F98"/>
    <mergeCell ref="B99:B100"/>
    <mergeCell ref="B107:F107"/>
    <mergeCell ref="B108:B109"/>
    <mergeCell ref="B113:B115"/>
    <mergeCell ref="C113:F115"/>
    <mergeCell ref="C116:F116"/>
    <mergeCell ref="C117:F117"/>
    <mergeCell ref="C118:F118"/>
    <mergeCell ref="C119:F119"/>
    <mergeCell ref="B120:B121"/>
    <mergeCell ref="C97:F97"/>
    <mergeCell ref="B73:F73"/>
    <mergeCell ref="C74:F74"/>
    <mergeCell ref="C75:F75"/>
    <mergeCell ref="C76:F76"/>
    <mergeCell ref="B78:B79"/>
    <mergeCell ref="B85:F85"/>
    <mergeCell ref="B86:B87"/>
    <mergeCell ref="B93:F93"/>
    <mergeCell ref="B94:F94"/>
    <mergeCell ref="C95:F95"/>
    <mergeCell ref="C96:F96"/>
    <mergeCell ref="B69:F69"/>
    <mergeCell ref="B36:B37"/>
    <mergeCell ref="C43:F43"/>
    <mergeCell ref="B44:F44"/>
    <mergeCell ref="B48:F48"/>
    <mergeCell ref="C49:F49"/>
    <mergeCell ref="C50:F50"/>
    <mergeCell ref="C51:F51"/>
    <mergeCell ref="B53:B54"/>
    <mergeCell ref="B60:F60"/>
    <mergeCell ref="B61:B62"/>
    <mergeCell ref="C68:F68"/>
    <mergeCell ref="B35:F35"/>
    <mergeCell ref="B8:F10"/>
    <mergeCell ref="C11:F11"/>
    <mergeCell ref="B12:B13"/>
    <mergeCell ref="C17:F17"/>
    <mergeCell ref="B18:F18"/>
    <mergeCell ref="B22:F22"/>
    <mergeCell ref="B23:F23"/>
    <mergeCell ref="C24:F24"/>
    <mergeCell ref="C25:F25"/>
    <mergeCell ref="C26:F26"/>
    <mergeCell ref="B27:B28"/>
    <mergeCell ref="B7:F7"/>
    <mergeCell ref="B2:F2"/>
    <mergeCell ref="B3:F3"/>
    <mergeCell ref="C4:F4"/>
    <mergeCell ref="C5:F5"/>
    <mergeCell ref="C6:F6"/>
  </mergeCells>
  <printOptions horizontalCentered="1" verticalCentered="1"/>
  <pageMargins left="0.7" right="0.7" top="0.75" bottom="0.75" header="0.3" footer="0.3"/>
  <pageSetup orientation="landscape" r:id="rId1"/>
  <rowBreaks count="2" manualBreakCount="2">
    <brk id="92" max="16383" man="1"/>
    <brk id="14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67"/>
  <sheetViews>
    <sheetView topLeftCell="A237" zoomScaleNormal="100" zoomScalePageLayoutView="55" workbookViewId="0">
      <selection activeCell="K285" sqref="K285"/>
    </sheetView>
  </sheetViews>
  <sheetFormatPr defaultRowHeight="15" x14ac:dyDescent="0.25"/>
  <cols>
    <col min="1" max="1" width="9.5703125" style="152" customWidth="1"/>
    <col min="2" max="2" width="40.28515625" style="152" customWidth="1"/>
    <col min="3" max="3" width="29.28515625" style="152" customWidth="1"/>
    <col min="4" max="4" width="27.85546875" style="152" customWidth="1"/>
    <col min="5" max="5" width="21.85546875" style="152" customWidth="1"/>
    <col min="6" max="6" width="27.42578125" style="152" customWidth="1"/>
    <col min="7" max="7" width="13.7109375" style="152" customWidth="1"/>
    <col min="8" max="8" width="11.85546875" style="152" customWidth="1"/>
    <col min="9" max="9" width="11" style="152" customWidth="1"/>
    <col min="10" max="10" width="11" style="152" bestFit="1" customWidth="1"/>
    <col min="11" max="16384" width="9.140625" style="152"/>
  </cols>
  <sheetData>
    <row r="2" spans="2:7" ht="18" customHeight="1" x14ac:dyDescent="0.25">
      <c r="B2" s="762" t="s">
        <v>0</v>
      </c>
      <c r="C2" s="762"/>
      <c r="D2" s="762"/>
      <c r="E2" s="762"/>
      <c r="F2" s="762"/>
      <c r="G2" s="1"/>
    </row>
    <row r="3" spans="2:7" ht="15.75" thickBot="1" x14ac:dyDescent="0.3"/>
    <row r="4" spans="2:7" ht="15.75" thickBot="1" x14ac:dyDescent="0.3">
      <c r="B4" s="153" t="s">
        <v>2</v>
      </c>
      <c r="C4" s="979" t="s">
        <v>482</v>
      </c>
      <c r="D4" s="979"/>
      <c r="E4" s="979"/>
      <c r="F4" s="979"/>
    </row>
    <row r="5" spans="2:7" ht="15.75" thickBot="1" x14ac:dyDescent="0.3">
      <c r="B5" s="153" t="s">
        <v>3</v>
      </c>
      <c r="C5" s="1048" t="s">
        <v>483</v>
      </c>
      <c r="D5" s="981"/>
      <c r="E5" s="981"/>
      <c r="F5" s="982"/>
    </row>
    <row r="6" spans="2:7" ht="15.75" thickBot="1" x14ac:dyDescent="0.3">
      <c r="B6" s="153" t="s">
        <v>5</v>
      </c>
      <c r="C6" s="983" t="s">
        <v>6</v>
      </c>
      <c r="D6" s="984"/>
      <c r="E6" s="984"/>
      <c r="F6" s="985"/>
    </row>
    <row r="7" spans="2:7" ht="15.75" thickBot="1" x14ac:dyDescent="0.3">
      <c r="B7" s="986" t="s">
        <v>7</v>
      </c>
      <c r="C7" s="987"/>
      <c r="D7" s="987"/>
      <c r="E7" s="987"/>
      <c r="F7" s="988"/>
    </row>
    <row r="8" spans="2:7" ht="78.75" customHeight="1" thickBot="1" x14ac:dyDescent="0.3">
      <c r="B8" s="1199" t="s">
        <v>484</v>
      </c>
      <c r="C8" s="1194"/>
      <c r="D8" s="1194"/>
      <c r="E8" s="1194"/>
      <c r="F8" s="1195"/>
    </row>
    <row r="9" spans="2:7" ht="39.75" hidden="1" customHeight="1" thickBot="1" x14ac:dyDescent="0.3">
      <c r="B9" s="1199"/>
      <c r="C9" s="1194"/>
      <c r="D9" s="1194"/>
      <c r="E9" s="1194"/>
      <c r="F9" s="1195"/>
    </row>
    <row r="10" spans="2:7" ht="39.75" hidden="1" customHeight="1" thickBot="1" x14ac:dyDescent="0.3">
      <c r="B10" s="1199"/>
      <c r="C10" s="1194"/>
      <c r="D10" s="1194"/>
      <c r="E10" s="1194"/>
      <c r="F10" s="1195"/>
    </row>
    <row r="11" spans="2:7" ht="38.25" customHeight="1" thickBot="1" x14ac:dyDescent="0.3">
      <c r="B11" s="154" t="s">
        <v>8</v>
      </c>
      <c r="C11" s="1200" t="s">
        <v>485</v>
      </c>
      <c r="D11" s="1201"/>
      <c r="E11" s="1201"/>
      <c r="F11" s="1202"/>
    </row>
    <row r="12" spans="2:7" ht="18.75" customHeight="1" x14ac:dyDescent="0.25">
      <c r="B12" s="998" t="s">
        <v>102</v>
      </c>
      <c r="C12" s="155">
        <v>2018</v>
      </c>
      <c r="D12" s="155">
        <v>2019</v>
      </c>
      <c r="E12" s="155">
        <v>2020</v>
      </c>
      <c r="F12" s="155">
        <v>2021</v>
      </c>
    </row>
    <row r="13" spans="2:7" ht="15.75" thickBot="1" x14ac:dyDescent="0.3">
      <c r="B13" s="999"/>
      <c r="C13" s="156" t="s">
        <v>10</v>
      </c>
      <c r="D13" s="156" t="s">
        <v>11</v>
      </c>
      <c r="E13" s="156" t="s">
        <v>11</v>
      </c>
      <c r="F13" s="156" t="s">
        <v>11</v>
      </c>
    </row>
    <row r="14" spans="2:7" ht="15.75" thickBot="1" x14ac:dyDescent="0.3">
      <c r="B14" s="255" t="s">
        <v>486</v>
      </c>
      <c r="C14" s="157">
        <v>0.17</v>
      </c>
      <c r="D14" s="157">
        <v>0.06</v>
      </c>
      <c r="E14" s="157">
        <v>0.08</v>
      </c>
      <c r="F14" s="157">
        <v>0.09</v>
      </c>
    </row>
    <row r="15" spans="2:7" ht="15.75" thickBot="1" x14ac:dyDescent="0.3">
      <c r="B15" s="256" t="s">
        <v>487</v>
      </c>
      <c r="C15" s="157">
        <v>0.05</v>
      </c>
      <c r="D15" s="157">
        <v>0.09</v>
      </c>
      <c r="E15" s="157">
        <v>0.01</v>
      </c>
      <c r="F15" s="157">
        <v>0.01</v>
      </c>
    </row>
    <row r="16" spans="2:7" ht="15.75" thickBot="1" x14ac:dyDescent="0.3">
      <c r="B16" s="256"/>
      <c r="C16" s="157"/>
      <c r="D16" s="157"/>
      <c r="E16" s="157"/>
      <c r="F16" s="157"/>
    </row>
    <row r="17" spans="2:6" ht="15.75" thickBot="1" x14ac:dyDescent="0.3">
      <c r="B17" s="158" t="s">
        <v>12</v>
      </c>
      <c r="C17" s="1196" t="s">
        <v>488</v>
      </c>
      <c r="D17" s="1197"/>
      <c r="E17" s="1197"/>
      <c r="F17" s="1198"/>
    </row>
    <row r="18" spans="2:6" ht="15.75" thickBot="1" x14ac:dyDescent="0.3">
      <c r="B18" s="983" t="s">
        <v>103</v>
      </c>
      <c r="C18" s="984"/>
      <c r="D18" s="984"/>
      <c r="E18" s="984"/>
      <c r="F18" s="985"/>
    </row>
    <row r="19" spans="2:6" ht="15.75" thickBot="1" x14ac:dyDescent="0.3">
      <c r="B19" s="255" t="s">
        <v>489</v>
      </c>
      <c r="C19" s="157">
        <v>0.17</v>
      </c>
      <c r="D19" s="157">
        <v>0.26</v>
      </c>
      <c r="E19" s="157">
        <v>-7.0000000000000007E-2</v>
      </c>
      <c r="F19" s="157">
        <v>0.04</v>
      </c>
    </row>
    <row r="20" spans="2:6" ht="15.75" thickBot="1" x14ac:dyDescent="0.3">
      <c r="B20" s="255" t="s">
        <v>490</v>
      </c>
      <c r="C20" s="157">
        <v>0.05</v>
      </c>
      <c r="D20" s="157">
        <v>0.09</v>
      </c>
      <c r="E20" s="157">
        <v>0.01</v>
      </c>
      <c r="F20" s="157">
        <v>0.01</v>
      </c>
    </row>
    <row r="21" spans="2:6" ht="30.75" thickBot="1" x14ac:dyDescent="0.3">
      <c r="B21" s="62" t="s">
        <v>115</v>
      </c>
      <c r="C21" s="157" t="s">
        <v>116</v>
      </c>
      <c r="D21" s="157" t="s">
        <v>117</v>
      </c>
      <c r="E21" s="157" t="s">
        <v>117</v>
      </c>
      <c r="F21" s="157" t="s">
        <v>117</v>
      </c>
    </row>
    <row r="22" spans="2:6" ht="15.75" thickBot="1" x14ac:dyDescent="0.3">
      <c r="B22" s="989" t="s">
        <v>14</v>
      </c>
      <c r="C22" s="990"/>
      <c r="D22" s="990"/>
      <c r="E22" s="990"/>
      <c r="F22" s="991"/>
    </row>
    <row r="23" spans="2:6" ht="15.75" thickBot="1" x14ac:dyDescent="0.3">
      <c r="B23" s="989" t="s">
        <v>104</v>
      </c>
      <c r="C23" s="990"/>
      <c r="D23" s="990"/>
      <c r="E23" s="990"/>
      <c r="F23" s="991"/>
    </row>
    <row r="24" spans="2:6" ht="15.75" thickBot="1" x14ac:dyDescent="0.3">
      <c r="B24" s="160" t="s">
        <v>105</v>
      </c>
      <c r="C24" s="1191" t="s">
        <v>491</v>
      </c>
      <c r="D24" s="1192"/>
      <c r="E24" s="1192"/>
      <c r="F24" s="1193"/>
    </row>
    <row r="25" spans="2:6" ht="39" customHeight="1" thickBot="1" x14ac:dyDescent="0.3">
      <c r="B25" s="62" t="s">
        <v>17</v>
      </c>
      <c r="C25" s="1179" t="s">
        <v>492</v>
      </c>
      <c r="D25" s="1194"/>
      <c r="E25" s="1194"/>
      <c r="F25" s="1195"/>
    </row>
    <row r="26" spans="2:6" ht="15.75" thickBot="1" x14ac:dyDescent="0.3">
      <c r="B26" s="62" t="s">
        <v>18</v>
      </c>
      <c r="C26" s="995" t="s">
        <v>493</v>
      </c>
      <c r="D26" s="996"/>
      <c r="E26" s="996"/>
      <c r="F26" s="997"/>
    </row>
    <row r="27" spans="2:6" x14ac:dyDescent="0.25">
      <c r="B27" s="998"/>
      <c r="C27" s="63">
        <v>2018</v>
      </c>
      <c r="D27" s="63">
        <v>2019</v>
      </c>
      <c r="E27" s="63">
        <v>2020</v>
      </c>
      <c r="F27" s="63">
        <v>2021</v>
      </c>
    </row>
    <row r="28" spans="2:6" ht="15.75" thickBot="1" x14ac:dyDescent="0.3">
      <c r="B28" s="999"/>
      <c r="C28" s="64" t="s">
        <v>10</v>
      </c>
      <c r="D28" s="64" t="s">
        <v>11</v>
      </c>
      <c r="E28" s="64" t="s">
        <v>11</v>
      </c>
      <c r="F28" s="64" t="s">
        <v>11</v>
      </c>
    </row>
    <row r="29" spans="2:6" ht="15.75" thickBot="1" x14ac:dyDescent="0.3">
      <c r="B29" s="62" t="s">
        <v>19</v>
      </c>
      <c r="C29" s="161">
        <v>266340</v>
      </c>
      <c r="D29" s="161">
        <v>230640</v>
      </c>
      <c r="E29" s="161">
        <v>217252</v>
      </c>
      <c r="F29" s="161">
        <v>224963</v>
      </c>
    </row>
    <row r="30" spans="2:6" ht="15.75" thickBot="1" x14ac:dyDescent="0.3">
      <c r="B30" s="62" t="s">
        <v>20</v>
      </c>
      <c r="C30" s="161">
        <v>283224</v>
      </c>
      <c r="D30" s="161">
        <v>190612</v>
      </c>
      <c r="E30" s="161">
        <v>209097</v>
      </c>
      <c r="F30" s="161">
        <v>211431</v>
      </c>
    </row>
    <row r="31" spans="2:6" ht="15.75" thickBot="1" x14ac:dyDescent="0.3">
      <c r="B31" s="62" t="s">
        <v>21</v>
      </c>
      <c r="C31" s="161">
        <f>C30/C29</f>
        <v>1.0633926560036044</v>
      </c>
      <c r="D31" s="161">
        <f t="shared" ref="D31:F31" si="0">D30/D29</f>
        <v>0.82644814429413804</v>
      </c>
      <c r="E31" s="161">
        <f t="shared" si="0"/>
        <v>0.96246294625596085</v>
      </c>
      <c r="F31" s="161">
        <f t="shared" si="0"/>
        <v>0.93984788609682479</v>
      </c>
    </row>
    <row r="32" spans="2:6" ht="15.75" thickBot="1" x14ac:dyDescent="0.3">
      <c r="B32" s="62" t="s">
        <v>22</v>
      </c>
      <c r="C32" s="145" t="s">
        <v>23</v>
      </c>
      <c r="D32" s="162">
        <f>D29/C29-1</f>
        <v>-0.13403919801757147</v>
      </c>
      <c r="E32" s="162">
        <f t="shared" ref="E32:F34" si="1">E29/D29-1</f>
        <v>-5.8047173083593528E-2</v>
      </c>
      <c r="F32" s="162">
        <f t="shared" si="1"/>
        <v>3.5493344134921667E-2</v>
      </c>
    </row>
    <row r="33" spans="2:6" ht="15.75" thickBot="1" x14ac:dyDescent="0.3">
      <c r="B33" s="62" t="s">
        <v>24</v>
      </c>
      <c r="C33" s="145" t="s">
        <v>23</v>
      </c>
      <c r="D33" s="162">
        <f>D30/C30-1</f>
        <v>-0.32699206281953508</v>
      </c>
      <c r="E33" s="162">
        <f t="shared" si="1"/>
        <v>9.6977105323904134E-2</v>
      </c>
      <c r="F33" s="162">
        <f t="shared" si="1"/>
        <v>1.11622835334797E-2</v>
      </c>
    </row>
    <row r="34" spans="2:6" ht="15.75" thickBot="1" x14ac:dyDescent="0.3">
      <c r="B34" s="62" t="s">
        <v>25</v>
      </c>
      <c r="C34" s="145" t="s">
        <v>23</v>
      </c>
      <c r="D34" s="162">
        <f>D31/C31-1</f>
        <v>-0.22281939824555574</v>
      </c>
      <c r="E34" s="162">
        <f t="shared" si="1"/>
        <v>0.16457753931795915</v>
      </c>
      <c r="F34" s="162">
        <f t="shared" si="1"/>
        <v>-2.3497070975158074E-2</v>
      </c>
    </row>
    <row r="35" spans="2:6" ht="15.75" thickBot="1" x14ac:dyDescent="0.3">
      <c r="B35" s="1000" t="s">
        <v>784</v>
      </c>
      <c r="C35" s="1001"/>
      <c r="D35" s="1001"/>
      <c r="E35" s="1001"/>
      <c r="F35" s="1002"/>
    </row>
    <row r="36" spans="2:6"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15.75" thickBot="1" x14ac:dyDescent="0.3">
      <c r="B38" s="65" t="s">
        <v>26</v>
      </c>
      <c r="C38" s="164">
        <v>204239</v>
      </c>
      <c r="D38" s="164">
        <v>139856</v>
      </c>
      <c r="E38" s="164">
        <v>164521</v>
      </c>
      <c r="F38" s="164">
        <v>162409</v>
      </c>
    </row>
    <row r="39" spans="2:6" ht="15.75" thickBot="1" x14ac:dyDescent="0.3">
      <c r="B39" s="65" t="s">
        <v>28</v>
      </c>
      <c r="C39" s="164">
        <v>34115</v>
      </c>
      <c r="D39" s="164">
        <v>23856</v>
      </c>
      <c r="E39" s="164">
        <v>27476</v>
      </c>
      <c r="F39" s="164">
        <v>27122</v>
      </c>
    </row>
    <row r="40" spans="2:6" ht="15.75" thickBot="1" x14ac:dyDescent="0.3">
      <c r="B40" s="65" t="s">
        <v>30</v>
      </c>
      <c r="C40" s="165">
        <v>44870</v>
      </c>
      <c r="D40" s="164">
        <v>26900</v>
      </c>
      <c r="E40" s="164">
        <v>17100</v>
      </c>
      <c r="F40" s="164">
        <v>21900</v>
      </c>
    </row>
    <row r="41" spans="2:6" ht="15.75" thickBot="1" x14ac:dyDescent="0.3">
      <c r="B41" s="65" t="s">
        <v>32</v>
      </c>
      <c r="C41" s="165"/>
      <c r="D41" s="164"/>
      <c r="E41" s="164"/>
      <c r="F41" s="164"/>
    </row>
    <row r="42" spans="2:6" ht="15.75" thickBot="1" x14ac:dyDescent="0.3">
      <c r="B42" s="65" t="s">
        <v>34</v>
      </c>
      <c r="C42" s="165"/>
      <c r="D42" s="164"/>
      <c r="E42" s="164"/>
      <c r="F42" s="164"/>
    </row>
    <row r="43" spans="2:6" ht="15.75" thickBot="1" x14ac:dyDescent="0.3">
      <c r="B43" s="65" t="s">
        <v>36</v>
      </c>
      <c r="C43" s="165"/>
      <c r="D43" s="164"/>
      <c r="E43" s="164"/>
      <c r="F43" s="164"/>
    </row>
    <row r="44" spans="2:6" ht="15.75" thickBot="1" x14ac:dyDescent="0.3">
      <c r="B44" s="65" t="s">
        <v>38</v>
      </c>
      <c r="C44" s="165"/>
      <c r="D44" s="164"/>
      <c r="E44" s="164"/>
      <c r="F44" s="164"/>
    </row>
    <row r="45" spans="2:6" ht="15.75" thickBot="1" x14ac:dyDescent="0.3">
      <c r="B45" s="66" t="s">
        <v>40</v>
      </c>
      <c r="C45" s="165">
        <f>C44+C43+C42+C41+C40+C39+C38</f>
        <v>283224</v>
      </c>
      <c r="D45" s="165">
        <f>D44+D43+D42+D41+D40+D39+D38</f>
        <v>190612</v>
      </c>
      <c r="E45" s="165">
        <f>E44+E43+E42+E41+E40+E39+E38</f>
        <v>209097</v>
      </c>
      <c r="F45" s="165">
        <f>F44+F43+F42+F41+F40+F39+F38</f>
        <v>211431</v>
      </c>
    </row>
    <row r="46" spans="2:6" ht="15.75" thickBot="1" x14ac:dyDescent="0.3">
      <c r="B46" s="166" t="s">
        <v>41</v>
      </c>
      <c r="C46" s="167">
        <f>IF(C45-C30=0,0,"Error")</f>
        <v>0</v>
      </c>
      <c r="D46" s="167">
        <f>IF(D45-D30=0,0,"Error")</f>
        <v>0</v>
      </c>
      <c r="E46" s="167">
        <f>IF(E45-E30=0,0,"Error")</f>
        <v>0</v>
      </c>
      <c r="F46" s="167">
        <f>IF(F45-F30=0,0,"Error")</f>
        <v>0</v>
      </c>
    </row>
    <row r="47" spans="2:6" ht="15.75" thickBot="1" x14ac:dyDescent="0.3">
      <c r="B47" s="160" t="s">
        <v>147</v>
      </c>
      <c r="C47" s="1182" t="s">
        <v>494</v>
      </c>
      <c r="D47" s="1183"/>
      <c r="E47" s="1183"/>
      <c r="F47" s="1184"/>
    </row>
    <row r="48" spans="2:6" ht="15.75" thickBot="1" x14ac:dyDescent="0.3">
      <c r="B48" s="62" t="s">
        <v>17</v>
      </c>
      <c r="C48" s="1179" t="s">
        <v>495</v>
      </c>
      <c r="D48" s="1180"/>
      <c r="E48" s="1180"/>
      <c r="F48" s="1181"/>
    </row>
    <row r="49" spans="2:6" ht="15.75" thickBot="1" x14ac:dyDescent="0.3">
      <c r="B49" s="62" t="s">
        <v>18</v>
      </c>
      <c r="C49" s="995" t="s">
        <v>493</v>
      </c>
      <c r="D49" s="996"/>
      <c r="E49" s="996"/>
      <c r="F49" s="997"/>
    </row>
    <row r="50" spans="2:6" x14ac:dyDescent="0.25">
      <c r="B50" s="998"/>
      <c r="C50" s="63">
        <v>2018</v>
      </c>
      <c r="D50" s="63">
        <v>2019</v>
      </c>
      <c r="E50" s="63">
        <v>2020</v>
      </c>
      <c r="F50" s="63">
        <v>2021</v>
      </c>
    </row>
    <row r="51" spans="2:6" ht="15.75" thickBot="1" x14ac:dyDescent="0.3">
      <c r="B51" s="999"/>
      <c r="C51" s="64" t="s">
        <v>10</v>
      </c>
      <c r="D51" s="64" t="s">
        <v>11</v>
      </c>
      <c r="E51" s="64" t="s">
        <v>11</v>
      </c>
      <c r="F51" s="64" t="s">
        <v>11</v>
      </c>
    </row>
    <row r="52" spans="2:6" ht="15.75" thickBot="1" x14ac:dyDescent="0.3">
      <c r="B52" s="62" t="s">
        <v>19</v>
      </c>
      <c r="C52" s="161">
        <v>435</v>
      </c>
      <c r="D52" s="161">
        <v>530</v>
      </c>
      <c r="E52" s="161">
        <v>203</v>
      </c>
      <c r="F52" s="161">
        <v>260</v>
      </c>
    </row>
    <row r="53" spans="2:6" ht="15.75" thickBot="1" x14ac:dyDescent="0.3">
      <c r="B53" s="62" t="s">
        <v>20</v>
      </c>
      <c r="C53" s="161">
        <v>1900</v>
      </c>
      <c r="D53" s="161">
        <v>2330</v>
      </c>
      <c r="E53" s="161">
        <v>900</v>
      </c>
      <c r="F53" s="161">
        <v>1150</v>
      </c>
    </row>
    <row r="54" spans="2:6" ht="15.75" thickBot="1" x14ac:dyDescent="0.3">
      <c r="B54" s="62" t="s">
        <v>21</v>
      </c>
      <c r="C54" s="161">
        <f>C53/C50</f>
        <v>0.94152626362735381</v>
      </c>
      <c r="D54" s="161">
        <f>D53/D50</f>
        <v>1.1540366518078256</v>
      </c>
      <c r="E54" s="161">
        <f>E53/E50</f>
        <v>0.44554455445544555</v>
      </c>
      <c r="F54" s="161">
        <f>F53/F50</f>
        <v>0.56902523503216229</v>
      </c>
    </row>
    <row r="55" spans="2:6" ht="15.75" thickBot="1" x14ac:dyDescent="0.3">
      <c r="B55" s="62" t="s">
        <v>22</v>
      </c>
      <c r="C55" s="145" t="s">
        <v>23</v>
      </c>
      <c r="D55" s="162">
        <f>D52/C52-1</f>
        <v>0.21839080459770122</v>
      </c>
      <c r="E55" s="162">
        <f t="shared" ref="E55:F57" si="2">E52/D52-1</f>
        <v>-0.61698113207547167</v>
      </c>
      <c r="F55" s="162">
        <f t="shared" si="2"/>
        <v>0.28078817733990147</v>
      </c>
    </row>
    <row r="56" spans="2:6" ht="15.75" thickBot="1" x14ac:dyDescent="0.3">
      <c r="B56" s="62" t="s">
        <v>24</v>
      </c>
      <c r="C56" s="145" t="s">
        <v>23</v>
      </c>
      <c r="D56" s="162">
        <f>D53/C53-1</f>
        <v>0.22631578947368425</v>
      </c>
      <c r="E56" s="162">
        <f t="shared" si="2"/>
        <v>-0.61373390557939911</v>
      </c>
      <c r="F56" s="162">
        <f t="shared" si="2"/>
        <v>0.27777777777777768</v>
      </c>
    </row>
    <row r="57" spans="2:6" ht="15.75" thickBot="1" x14ac:dyDescent="0.3">
      <c r="B57" s="62" t="s">
        <v>25</v>
      </c>
      <c r="C57" s="145" t="s">
        <v>23</v>
      </c>
      <c r="D57" s="162">
        <f>D54/C54-1</f>
        <v>0.22570840176220641</v>
      </c>
      <c r="E57" s="162">
        <f t="shared" si="2"/>
        <v>-0.61392512641822117</v>
      </c>
      <c r="F57" s="162">
        <f t="shared" si="2"/>
        <v>0.2771455275166308</v>
      </c>
    </row>
    <row r="58" spans="2:6" ht="15.75" thickBot="1" x14ac:dyDescent="0.3">
      <c r="B58" s="1000" t="s">
        <v>786</v>
      </c>
      <c r="C58" s="1001"/>
      <c r="D58" s="1001"/>
      <c r="E58" s="1001"/>
      <c r="F58" s="1002"/>
    </row>
    <row r="59" spans="2:6" x14ac:dyDescent="0.25">
      <c r="B59" s="998"/>
      <c r="C59" s="63">
        <v>2018</v>
      </c>
      <c r="D59" s="63">
        <v>2019</v>
      </c>
      <c r="E59" s="63">
        <v>2020</v>
      </c>
      <c r="F59" s="63">
        <v>2021</v>
      </c>
    </row>
    <row r="60" spans="2:6" ht="15.75" thickBot="1" x14ac:dyDescent="0.3">
      <c r="B60" s="999"/>
      <c r="C60" s="64" t="s">
        <v>10</v>
      </c>
      <c r="D60" s="64" t="s">
        <v>11</v>
      </c>
      <c r="E60" s="64" t="s">
        <v>11</v>
      </c>
      <c r="F60" s="64" t="s">
        <v>11</v>
      </c>
    </row>
    <row r="61" spans="2:6" ht="15.75" thickBot="1" x14ac:dyDescent="0.3">
      <c r="B61" s="65" t="s">
        <v>26</v>
      </c>
      <c r="C61" s="164"/>
      <c r="D61" s="164"/>
      <c r="E61" s="164"/>
      <c r="F61" s="164"/>
    </row>
    <row r="62" spans="2:6" ht="15.75" thickBot="1" x14ac:dyDescent="0.3">
      <c r="B62" s="65" t="s">
        <v>28</v>
      </c>
      <c r="C62" s="164"/>
      <c r="D62" s="164"/>
      <c r="E62" s="164"/>
      <c r="F62" s="164"/>
    </row>
    <row r="63" spans="2:6" ht="15.75" thickBot="1" x14ac:dyDescent="0.3">
      <c r="B63" s="65" t="s">
        <v>30</v>
      </c>
      <c r="C63" s="161">
        <v>1900</v>
      </c>
      <c r="D63" s="161">
        <v>2330</v>
      </c>
      <c r="E63" s="161">
        <v>900</v>
      </c>
      <c r="F63" s="161">
        <v>1150</v>
      </c>
    </row>
    <row r="64" spans="2:6" ht="15.75" thickBot="1" x14ac:dyDescent="0.3">
      <c r="B64" s="65" t="s">
        <v>32</v>
      </c>
      <c r="C64" s="165"/>
      <c r="D64" s="164"/>
      <c r="E64" s="164"/>
      <c r="F64" s="164"/>
    </row>
    <row r="65" spans="2:11" ht="15.75" thickBot="1" x14ac:dyDescent="0.3">
      <c r="B65" s="65" t="s">
        <v>34</v>
      </c>
      <c r="C65" s="165"/>
      <c r="D65" s="164"/>
      <c r="E65" s="164"/>
      <c r="F65" s="164"/>
    </row>
    <row r="66" spans="2:11" ht="15.75" thickBot="1" x14ac:dyDescent="0.3">
      <c r="B66" s="65" t="s">
        <v>36</v>
      </c>
      <c r="C66" s="165"/>
      <c r="D66" s="164"/>
      <c r="E66" s="164"/>
      <c r="F66" s="164"/>
    </row>
    <row r="67" spans="2:11" ht="15.75" thickBot="1" x14ac:dyDescent="0.3">
      <c r="B67" s="65" t="s">
        <v>38</v>
      </c>
      <c r="C67" s="165"/>
      <c r="D67" s="164"/>
      <c r="E67" s="164"/>
      <c r="F67" s="164"/>
    </row>
    <row r="68" spans="2:11" ht="15.75" thickBot="1" x14ac:dyDescent="0.3">
      <c r="B68" s="66" t="s">
        <v>43</v>
      </c>
      <c r="C68" s="165">
        <f>C67+C66+C65+C64+C63+C62+C61</f>
        <v>1900</v>
      </c>
      <c r="D68" s="165">
        <f>D67+D66+D65+D64+D63+D62+D61</f>
        <v>2330</v>
      </c>
      <c r="E68" s="165">
        <f>E67+E66+E65+E64+E63+E62+E61</f>
        <v>900</v>
      </c>
      <c r="F68" s="165">
        <f>F67+F66+F65+F64+F63+F62+F61</f>
        <v>1150</v>
      </c>
    </row>
    <row r="69" spans="2:11" ht="15.75" thickBot="1" x14ac:dyDescent="0.3">
      <c r="B69" s="166" t="s">
        <v>41</v>
      </c>
      <c r="C69" s="167">
        <f>IF(C68-C53=0,0,"Error")</f>
        <v>0</v>
      </c>
      <c r="D69" s="167">
        <f>IF(D68-D53=0,0,"Error")</f>
        <v>0</v>
      </c>
      <c r="E69" s="167">
        <f>IF(E68-E53=0,0,"Error")</f>
        <v>0</v>
      </c>
      <c r="F69" s="167">
        <f>IF(F68-F53=0,0,"Error")</f>
        <v>0</v>
      </c>
    </row>
    <row r="70" spans="2:11" ht="15.75" thickBot="1" x14ac:dyDescent="0.3">
      <c r="B70" s="158" t="s">
        <v>67</v>
      </c>
      <c r="C70" s="1179" t="s">
        <v>496</v>
      </c>
      <c r="D70" s="1180"/>
      <c r="E70" s="1180"/>
      <c r="F70" s="1181"/>
    </row>
    <row r="71" spans="2:11" ht="23.25" customHeight="1" thickBot="1" x14ac:dyDescent="0.3">
      <c r="B71" s="983" t="s">
        <v>140</v>
      </c>
      <c r="C71" s="984"/>
      <c r="D71" s="984"/>
      <c r="E71" s="984"/>
      <c r="F71" s="985"/>
      <c r="I71" s="159"/>
      <c r="K71" s="159"/>
    </row>
    <row r="72" spans="2:11" ht="15.75" thickBot="1" x14ac:dyDescent="0.3">
      <c r="B72" s="257" t="s">
        <v>497</v>
      </c>
      <c r="C72" s="157">
        <v>0.17</v>
      </c>
      <c r="D72" s="157">
        <v>0.06</v>
      </c>
      <c r="E72" s="157">
        <v>0.08</v>
      </c>
      <c r="F72" s="157">
        <v>0.09</v>
      </c>
    </row>
    <row r="73" spans="2:11" ht="15.75" thickBot="1" x14ac:dyDescent="0.3">
      <c r="B73" s="258" t="s">
        <v>498</v>
      </c>
      <c r="C73" s="157">
        <v>0</v>
      </c>
      <c r="D73" s="157">
        <v>1.2500000000000001E-2</v>
      </c>
      <c r="E73" s="157">
        <v>0</v>
      </c>
      <c r="F73" s="157">
        <v>1.2E-2</v>
      </c>
    </row>
    <row r="74" spans="2:11" ht="30.75" thickBot="1" x14ac:dyDescent="0.3">
      <c r="B74" s="62" t="s">
        <v>115</v>
      </c>
      <c r="C74" s="157" t="s">
        <v>116</v>
      </c>
      <c r="D74" s="157" t="s">
        <v>117</v>
      </c>
      <c r="E74" s="157" t="s">
        <v>117</v>
      </c>
      <c r="F74" s="157" t="s">
        <v>117</v>
      </c>
    </row>
    <row r="75" spans="2:11" ht="15.75" thickBot="1" x14ac:dyDescent="0.3">
      <c r="B75" s="989" t="s">
        <v>499</v>
      </c>
      <c r="C75" s="990"/>
      <c r="D75" s="990"/>
      <c r="E75" s="990"/>
      <c r="F75" s="991"/>
    </row>
    <row r="76" spans="2:11" ht="15.75" thickBot="1" x14ac:dyDescent="0.3">
      <c r="B76" s="989" t="s">
        <v>104</v>
      </c>
      <c r="C76" s="990"/>
      <c r="D76" s="990"/>
      <c r="E76" s="990"/>
      <c r="F76" s="991"/>
    </row>
    <row r="77" spans="2:11" ht="15.75" thickBot="1" x14ac:dyDescent="0.3">
      <c r="B77" s="160" t="s">
        <v>105</v>
      </c>
      <c r="C77" s="1182" t="s">
        <v>500</v>
      </c>
      <c r="D77" s="1183"/>
      <c r="E77" s="1183"/>
      <c r="F77" s="1184"/>
    </row>
    <row r="78" spans="2:11" ht="15.75" customHeight="1" thickBot="1" x14ac:dyDescent="0.3">
      <c r="B78" s="62" t="s">
        <v>17</v>
      </c>
      <c r="C78" s="1188" t="s">
        <v>501</v>
      </c>
      <c r="D78" s="1189"/>
      <c r="E78" s="1189"/>
      <c r="F78" s="1190"/>
    </row>
    <row r="79" spans="2:11" ht="15.75" thickBot="1" x14ac:dyDescent="0.3">
      <c r="B79" s="62" t="s">
        <v>18</v>
      </c>
      <c r="C79" s="995" t="s">
        <v>493</v>
      </c>
      <c r="D79" s="996"/>
      <c r="E79" s="996"/>
      <c r="F79" s="997"/>
    </row>
    <row r="80" spans="2:11" x14ac:dyDescent="0.25">
      <c r="B80" s="998"/>
      <c r="C80" s="63">
        <v>2018</v>
      </c>
      <c r="D80" s="63">
        <v>2019</v>
      </c>
      <c r="E80" s="63">
        <v>2020</v>
      </c>
      <c r="F80" s="63">
        <v>2021</v>
      </c>
    </row>
    <row r="81" spans="2:6" ht="15.75" thickBot="1" x14ac:dyDescent="0.3">
      <c r="B81" s="999"/>
      <c r="C81" s="64" t="s">
        <v>10</v>
      </c>
      <c r="D81" s="64" t="s">
        <v>11</v>
      </c>
      <c r="E81" s="64" t="s">
        <v>11</v>
      </c>
      <c r="F81" s="64" t="s">
        <v>11</v>
      </c>
    </row>
    <row r="82" spans="2:6" ht="15.75" thickBot="1" x14ac:dyDescent="0.3">
      <c r="B82" s="62" t="s">
        <v>19</v>
      </c>
      <c r="C82" s="161">
        <v>48</v>
      </c>
      <c r="D82" s="203">
        <v>51</v>
      </c>
      <c r="E82" s="203">
        <v>55</v>
      </c>
      <c r="F82" s="203">
        <v>60</v>
      </c>
    </row>
    <row r="83" spans="2:6" ht="15.75" thickBot="1" x14ac:dyDescent="0.3">
      <c r="B83" s="62" t="s">
        <v>20</v>
      </c>
      <c r="C83" s="161">
        <v>2100</v>
      </c>
      <c r="D83" s="161">
        <v>2240</v>
      </c>
      <c r="E83" s="161">
        <v>2420</v>
      </c>
      <c r="F83" s="161">
        <v>2640</v>
      </c>
    </row>
    <row r="84" spans="2:6" ht="15.75" thickBot="1" x14ac:dyDescent="0.3">
      <c r="B84" s="62" t="s">
        <v>21</v>
      </c>
      <c r="C84" s="161">
        <f>C83/C82</f>
        <v>43.75</v>
      </c>
      <c r="D84" s="161">
        <f t="shared" ref="D84:F84" si="3">D83/D82</f>
        <v>43.921568627450981</v>
      </c>
      <c r="E84" s="161">
        <f t="shared" si="3"/>
        <v>44</v>
      </c>
      <c r="F84" s="161">
        <f t="shared" si="3"/>
        <v>44</v>
      </c>
    </row>
    <row r="85" spans="2:6" ht="15.75" thickBot="1" x14ac:dyDescent="0.3">
      <c r="B85" s="62" t="s">
        <v>22</v>
      </c>
      <c r="C85" s="145" t="s">
        <v>23</v>
      </c>
      <c r="D85" s="162">
        <f>D82/C82-1</f>
        <v>6.25E-2</v>
      </c>
      <c r="E85" s="162">
        <f t="shared" ref="E85:F87" si="4">E82/D82-1</f>
        <v>7.8431372549019551E-2</v>
      </c>
      <c r="F85" s="162">
        <f t="shared" si="4"/>
        <v>9.0909090909090828E-2</v>
      </c>
    </row>
    <row r="86" spans="2:6" ht="15.75" thickBot="1" x14ac:dyDescent="0.3">
      <c r="B86" s="62" t="s">
        <v>24</v>
      </c>
      <c r="C86" s="145" t="s">
        <v>23</v>
      </c>
      <c r="D86" s="162">
        <f>D83/C83-1</f>
        <v>6.6666666666666652E-2</v>
      </c>
      <c r="E86" s="162">
        <f t="shared" si="4"/>
        <v>8.0357142857142794E-2</v>
      </c>
      <c r="F86" s="162">
        <f t="shared" si="4"/>
        <v>9.0909090909090828E-2</v>
      </c>
    </row>
    <row r="87" spans="2:6" ht="15.75" thickBot="1" x14ac:dyDescent="0.3">
      <c r="B87" s="62" t="s">
        <v>25</v>
      </c>
      <c r="C87" s="145" t="s">
        <v>23</v>
      </c>
      <c r="D87" s="162">
        <f>D84/C84-1</f>
        <v>3.9215686274509665E-3</v>
      </c>
      <c r="E87" s="162">
        <f t="shared" si="4"/>
        <v>1.7857142857142794E-3</v>
      </c>
      <c r="F87" s="162">
        <f t="shared" si="4"/>
        <v>0</v>
      </c>
    </row>
    <row r="88" spans="2:6" ht="15.75" thickBot="1" x14ac:dyDescent="0.3">
      <c r="B88" s="1000" t="s">
        <v>784</v>
      </c>
      <c r="C88" s="1001"/>
      <c r="D88" s="1001"/>
      <c r="E88" s="1001"/>
      <c r="F88" s="1002"/>
    </row>
    <row r="89" spans="2:6" x14ac:dyDescent="0.25">
      <c r="B89" s="998"/>
      <c r="C89" s="63">
        <v>2018</v>
      </c>
      <c r="D89" s="63">
        <v>2019</v>
      </c>
      <c r="E89" s="63">
        <v>2020</v>
      </c>
      <c r="F89" s="63">
        <v>2021</v>
      </c>
    </row>
    <row r="90" spans="2:6" ht="15.75" thickBot="1" x14ac:dyDescent="0.3">
      <c r="B90" s="999"/>
      <c r="C90" s="64" t="s">
        <v>10</v>
      </c>
      <c r="D90" s="64" t="s">
        <v>11</v>
      </c>
      <c r="E90" s="64" t="s">
        <v>11</v>
      </c>
      <c r="F90" s="64" t="s">
        <v>11</v>
      </c>
    </row>
    <row r="91" spans="2:6" ht="15.75" thickBot="1" x14ac:dyDescent="0.3">
      <c r="B91" s="65" t="s">
        <v>26</v>
      </c>
      <c r="C91" s="164"/>
      <c r="D91" s="164"/>
      <c r="E91" s="164"/>
      <c r="F91" s="164"/>
    </row>
    <row r="92" spans="2:6" ht="15.75" thickBot="1" x14ac:dyDescent="0.3">
      <c r="B92" s="65" t="s">
        <v>28</v>
      </c>
      <c r="C92" s="164"/>
      <c r="D92" s="164"/>
      <c r="E92" s="164"/>
      <c r="F92" s="164"/>
    </row>
    <row r="93" spans="2:6" ht="15.75" thickBot="1" x14ac:dyDescent="0.3">
      <c r="B93" s="65" t="s">
        <v>30</v>
      </c>
      <c r="C93" s="161">
        <v>2100</v>
      </c>
      <c r="D93" s="161">
        <v>2240</v>
      </c>
      <c r="E93" s="161">
        <v>2420</v>
      </c>
      <c r="F93" s="161">
        <v>2640</v>
      </c>
    </row>
    <row r="94" spans="2:6" ht="15.75" thickBot="1" x14ac:dyDescent="0.3">
      <c r="B94" s="65" t="s">
        <v>32</v>
      </c>
      <c r="C94" s="165"/>
      <c r="D94" s="164"/>
      <c r="E94" s="164"/>
      <c r="F94" s="164"/>
    </row>
    <row r="95" spans="2:6" ht="15.75" thickBot="1" x14ac:dyDescent="0.3">
      <c r="B95" s="65" t="s">
        <v>34</v>
      </c>
      <c r="C95" s="165"/>
      <c r="D95" s="164"/>
      <c r="E95" s="164"/>
      <c r="F95" s="164"/>
    </row>
    <row r="96" spans="2:6" ht="15.75" thickBot="1" x14ac:dyDescent="0.3">
      <c r="B96" s="65" t="s">
        <v>36</v>
      </c>
      <c r="C96" s="165"/>
      <c r="D96" s="164"/>
      <c r="E96" s="164"/>
      <c r="F96" s="164"/>
    </row>
    <row r="97" spans="2:12" ht="15.75" thickBot="1" x14ac:dyDescent="0.3">
      <c r="B97" s="65" t="s">
        <v>38</v>
      </c>
      <c r="C97" s="165"/>
      <c r="D97" s="164"/>
      <c r="E97" s="164"/>
      <c r="F97" s="164"/>
    </row>
    <row r="98" spans="2:12" ht="15.75" thickBot="1" x14ac:dyDescent="0.3">
      <c r="B98" s="66" t="s">
        <v>40</v>
      </c>
      <c r="C98" s="165">
        <f>C97+C96+C95+C94+C93+C92+C91</f>
        <v>2100</v>
      </c>
      <c r="D98" s="165">
        <f>D97+D96+D95+D94+D93+D92+D91</f>
        <v>2240</v>
      </c>
      <c r="E98" s="165">
        <f>E97+E96+E95+E94+E93+E92+E91</f>
        <v>2420</v>
      </c>
      <c r="F98" s="165">
        <f>F97+F96+F95+F94+F93+F92+F91</f>
        <v>2640</v>
      </c>
    </row>
    <row r="99" spans="2:12" ht="15.75" thickBot="1" x14ac:dyDescent="0.3">
      <c r="B99" s="166" t="s">
        <v>41</v>
      </c>
      <c r="C99" s="167">
        <f>IF(C98-C83=0,0,"Error")</f>
        <v>0</v>
      </c>
      <c r="D99" s="167">
        <f>IF(D98-D83=0,0,"Error")</f>
        <v>0</v>
      </c>
      <c r="E99" s="167">
        <f>IF(E98-E83=0,0,"Error")</f>
        <v>0</v>
      </c>
      <c r="F99" s="167">
        <f>IF(F98-F83=0,0,"Error")</f>
        <v>0</v>
      </c>
    </row>
    <row r="100" spans="2:12" ht="15.75" thickBot="1" x14ac:dyDescent="0.3">
      <c r="B100" s="160" t="s">
        <v>147</v>
      </c>
      <c r="C100" s="1182" t="s">
        <v>502</v>
      </c>
      <c r="D100" s="1183"/>
      <c r="E100" s="1183"/>
      <c r="F100" s="1184"/>
    </row>
    <row r="101" spans="2:12" ht="17.25" customHeight="1" thickBot="1" x14ac:dyDescent="0.3">
      <c r="B101" s="62" t="s">
        <v>17</v>
      </c>
      <c r="C101" s="1185" t="s">
        <v>503</v>
      </c>
      <c r="D101" s="1186"/>
      <c r="E101" s="1186"/>
      <c r="F101" s="1187"/>
    </row>
    <row r="102" spans="2:12" ht="15.75" thickBot="1" x14ac:dyDescent="0.3">
      <c r="B102" s="62" t="s">
        <v>18</v>
      </c>
      <c r="C102" s="995" t="s">
        <v>493</v>
      </c>
      <c r="D102" s="996"/>
      <c r="E102" s="996"/>
      <c r="F102" s="997"/>
    </row>
    <row r="103" spans="2:12" ht="12.75" customHeight="1" x14ac:dyDescent="0.25">
      <c r="B103" s="998"/>
      <c r="C103" s="63">
        <v>2018</v>
      </c>
      <c r="D103" s="63">
        <v>2019</v>
      </c>
      <c r="E103" s="63">
        <v>2020</v>
      </c>
      <c r="F103" s="63">
        <v>2021</v>
      </c>
    </row>
    <row r="104" spans="2:12" ht="9" customHeight="1" thickBot="1" x14ac:dyDescent="0.3">
      <c r="B104" s="999"/>
      <c r="C104" s="64" t="s">
        <v>10</v>
      </c>
      <c r="D104" s="64" t="s">
        <v>11</v>
      </c>
      <c r="E104" s="64" t="s">
        <v>11</v>
      </c>
      <c r="F104" s="64" t="s">
        <v>11</v>
      </c>
    </row>
    <row r="105" spans="2:12" ht="15.75" thickBot="1" x14ac:dyDescent="0.3">
      <c r="B105" s="62" t="s">
        <v>19</v>
      </c>
      <c r="C105" s="161">
        <v>4</v>
      </c>
      <c r="D105" s="161">
        <v>5</v>
      </c>
      <c r="E105" s="161">
        <v>5</v>
      </c>
      <c r="F105" s="161">
        <v>6</v>
      </c>
    </row>
    <row r="106" spans="2:12" ht="15.75" thickBot="1" x14ac:dyDescent="0.3">
      <c r="B106" s="62" t="s">
        <v>20</v>
      </c>
      <c r="C106" s="161">
        <v>1000</v>
      </c>
      <c r="D106" s="161">
        <v>1250</v>
      </c>
      <c r="E106" s="161">
        <v>1250</v>
      </c>
      <c r="F106" s="161">
        <v>1500</v>
      </c>
    </row>
    <row r="107" spans="2:12" ht="15.75" thickBot="1" x14ac:dyDescent="0.3">
      <c r="B107" s="62" t="s">
        <v>21</v>
      </c>
      <c r="C107" s="161">
        <f>C106/C103</f>
        <v>0.49554013875123887</v>
      </c>
      <c r="D107" s="161">
        <f>D106/D103</f>
        <v>0.61911837543338288</v>
      </c>
      <c r="E107" s="161">
        <f>E106/E103</f>
        <v>0.61881188118811881</v>
      </c>
      <c r="F107" s="161">
        <f>F106/F103</f>
        <v>0.74220682830282037</v>
      </c>
    </row>
    <row r="108" spans="2:12" ht="15.75" thickBot="1" x14ac:dyDescent="0.3">
      <c r="B108" s="62" t="s">
        <v>22</v>
      </c>
      <c r="C108" s="145" t="s">
        <v>23</v>
      </c>
      <c r="D108" s="162">
        <f>D105/C105-1</f>
        <v>0.25</v>
      </c>
      <c r="E108" s="162">
        <f t="shared" ref="E108:F110" si="5">E105/D105-1</f>
        <v>0</v>
      </c>
      <c r="F108" s="162">
        <f t="shared" si="5"/>
        <v>0.19999999999999996</v>
      </c>
      <c r="H108" s="163"/>
      <c r="I108" s="163"/>
      <c r="J108" s="163"/>
      <c r="K108" s="163"/>
      <c r="L108" s="163"/>
    </row>
    <row r="109" spans="2:12" ht="15.75" thickBot="1" x14ac:dyDescent="0.3">
      <c r="B109" s="62" t="s">
        <v>24</v>
      </c>
      <c r="C109" s="145" t="s">
        <v>23</v>
      </c>
      <c r="D109" s="162">
        <f>D106/C106-1</f>
        <v>0.25</v>
      </c>
      <c r="E109" s="162">
        <f t="shared" si="5"/>
        <v>0</v>
      </c>
      <c r="F109" s="162">
        <f t="shared" si="5"/>
        <v>0.19999999999999996</v>
      </c>
    </row>
    <row r="110" spans="2:12" ht="15.75" thickBot="1" x14ac:dyDescent="0.3">
      <c r="B110" s="62" t="s">
        <v>25</v>
      </c>
      <c r="C110" s="145" t="s">
        <v>23</v>
      </c>
      <c r="D110" s="162">
        <f>D107/C107-1</f>
        <v>0.24938088162456662</v>
      </c>
      <c r="E110" s="162">
        <f t="shared" si="5"/>
        <v>-4.9504950495049549E-4</v>
      </c>
      <c r="F110" s="162">
        <f t="shared" si="5"/>
        <v>0.19940623453735773</v>
      </c>
    </row>
    <row r="111" spans="2:12" ht="15.75" thickBot="1" x14ac:dyDescent="0.3">
      <c r="B111" s="1000" t="s">
        <v>786</v>
      </c>
      <c r="C111" s="1001"/>
      <c r="D111" s="1001"/>
      <c r="E111" s="1001"/>
      <c r="F111" s="1002"/>
    </row>
    <row r="112" spans="2:12" ht="12.75" customHeight="1" x14ac:dyDescent="0.25">
      <c r="B112" s="998"/>
      <c r="C112" s="63">
        <v>2018</v>
      </c>
      <c r="D112" s="63">
        <v>2019</v>
      </c>
      <c r="E112" s="63">
        <v>2020</v>
      </c>
      <c r="F112" s="63">
        <v>2021</v>
      </c>
    </row>
    <row r="113" spans="2:6" ht="9" customHeight="1" thickBot="1" x14ac:dyDescent="0.3">
      <c r="B113" s="999"/>
      <c r="C113" s="64" t="s">
        <v>10</v>
      </c>
      <c r="D113" s="64" t="s">
        <v>11</v>
      </c>
      <c r="E113" s="64" t="s">
        <v>11</v>
      </c>
      <c r="F113" s="64" t="s">
        <v>11</v>
      </c>
    </row>
    <row r="114" spans="2:6" ht="15.75" thickBot="1" x14ac:dyDescent="0.3">
      <c r="B114" s="65" t="s">
        <v>26</v>
      </c>
      <c r="C114" s="164"/>
      <c r="D114" s="164"/>
      <c r="E114" s="164"/>
      <c r="F114" s="164"/>
    </row>
    <row r="115" spans="2:6" ht="15.75" thickBot="1" x14ac:dyDescent="0.3">
      <c r="B115" s="65" t="s">
        <v>28</v>
      </c>
      <c r="C115" s="164"/>
      <c r="D115" s="164"/>
      <c r="E115" s="164"/>
      <c r="F115" s="164"/>
    </row>
    <row r="116" spans="2:6" ht="15.75" thickBot="1" x14ac:dyDescent="0.3">
      <c r="B116" s="65" t="s">
        <v>30</v>
      </c>
      <c r="C116" s="161">
        <v>1000</v>
      </c>
      <c r="D116" s="161">
        <v>1250</v>
      </c>
      <c r="E116" s="161">
        <v>1250</v>
      </c>
      <c r="F116" s="161">
        <v>1500</v>
      </c>
    </row>
    <row r="117" spans="2:6" ht="15.75" thickBot="1" x14ac:dyDescent="0.3">
      <c r="B117" s="65" t="s">
        <v>32</v>
      </c>
      <c r="C117" s="165"/>
      <c r="D117" s="164"/>
      <c r="E117" s="164"/>
      <c r="F117" s="164"/>
    </row>
    <row r="118" spans="2:6" ht="15.75" thickBot="1" x14ac:dyDescent="0.3">
      <c r="B118" s="65" t="s">
        <v>34</v>
      </c>
      <c r="C118" s="165"/>
      <c r="D118" s="164"/>
      <c r="E118" s="164"/>
      <c r="F118" s="164"/>
    </row>
    <row r="119" spans="2:6" ht="15.75" thickBot="1" x14ac:dyDescent="0.3">
      <c r="B119" s="65" t="s">
        <v>36</v>
      </c>
      <c r="C119" s="165"/>
      <c r="D119" s="164"/>
      <c r="E119" s="164"/>
      <c r="F119" s="164"/>
    </row>
    <row r="120" spans="2:6" ht="15.75" thickBot="1" x14ac:dyDescent="0.3">
      <c r="B120" s="65" t="s">
        <v>38</v>
      </c>
      <c r="C120" s="165"/>
      <c r="D120" s="164"/>
      <c r="E120" s="164"/>
      <c r="F120" s="164"/>
    </row>
    <row r="121" spans="2:6" ht="15.75" thickBot="1" x14ac:dyDescent="0.3">
      <c r="B121" s="66" t="s">
        <v>43</v>
      </c>
      <c r="C121" s="165">
        <f>C120+C119+C118+C117+C116+C115+C114</f>
        <v>1000</v>
      </c>
      <c r="D121" s="165">
        <f>D120+D119+D118+D117+D116+D115+D114</f>
        <v>1250</v>
      </c>
      <c r="E121" s="165">
        <f>E120+E119+E118+E117+E116+E115+E114</f>
        <v>1250</v>
      </c>
      <c r="F121" s="165">
        <f>F120+F119+F118+F117+F116+F115+F114</f>
        <v>1500</v>
      </c>
    </row>
    <row r="122" spans="2:6" ht="15.75" thickBot="1" x14ac:dyDescent="0.3">
      <c r="B122" s="166" t="s">
        <v>41</v>
      </c>
      <c r="C122" s="167">
        <f>IF(C121-C106=0,0,"Error")</f>
        <v>0</v>
      </c>
      <c r="D122" s="167">
        <f>IF(D121-D106=0,0,"Error")</f>
        <v>0</v>
      </c>
      <c r="E122" s="167">
        <f>IF(E121-E106=0,0,"Error")</f>
        <v>0</v>
      </c>
      <c r="F122" s="167">
        <f>IF(F121-F106=0,0,"Error")</f>
        <v>0</v>
      </c>
    </row>
    <row r="123" spans="2:6" ht="15.75" thickBot="1" x14ac:dyDescent="0.3">
      <c r="B123" s="158" t="s">
        <v>75</v>
      </c>
      <c r="C123" s="1179" t="s">
        <v>504</v>
      </c>
      <c r="D123" s="1180"/>
      <c r="E123" s="1180"/>
      <c r="F123" s="1181"/>
    </row>
    <row r="124" spans="2:6" ht="15.75" thickBot="1" x14ac:dyDescent="0.3">
      <c r="B124" s="983" t="s">
        <v>76</v>
      </c>
      <c r="C124" s="984"/>
      <c r="D124" s="984"/>
      <c r="E124" s="984"/>
      <c r="F124" s="985"/>
    </row>
    <row r="125" spans="2:6" ht="15.75" thickBot="1" x14ac:dyDescent="0.3">
      <c r="B125" s="146" t="s">
        <v>505</v>
      </c>
      <c r="C125" s="157">
        <v>0</v>
      </c>
      <c r="D125" s="157">
        <v>0.09</v>
      </c>
      <c r="E125" s="157">
        <v>0.01</v>
      </c>
      <c r="F125" s="157">
        <v>0.01</v>
      </c>
    </row>
    <row r="126" spans="2:6" ht="15.75" thickBot="1" x14ac:dyDescent="0.3">
      <c r="B126" s="146" t="s">
        <v>506</v>
      </c>
      <c r="C126" s="157">
        <v>0</v>
      </c>
      <c r="D126" s="157">
        <v>0.16700000000000001</v>
      </c>
      <c r="E126" s="157">
        <v>0</v>
      </c>
      <c r="F126" s="157">
        <v>0.14000000000000001</v>
      </c>
    </row>
    <row r="127" spans="2:6" ht="15.75" thickBot="1" x14ac:dyDescent="0.3">
      <c r="B127" s="62"/>
      <c r="C127" s="157"/>
      <c r="D127" s="157"/>
      <c r="E127" s="157"/>
      <c r="F127" s="157"/>
    </row>
    <row r="128" spans="2:6" ht="15.75" thickBot="1" x14ac:dyDescent="0.3">
      <c r="B128" s="989" t="s">
        <v>14</v>
      </c>
      <c r="C128" s="990"/>
      <c r="D128" s="990"/>
      <c r="E128" s="990"/>
      <c r="F128" s="991"/>
    </row>
    <row r="129" spans="2:6" ht="15.75" thickBot="1" x14ac:dyDescent="0.3">
      <c r="B129" s="989" t="s">
        <v>104</v>
      </c>
      <c r="C129" s="990"/>
      <c r="D129" s="990"/>
      <c r="E129" s="990"/>
      <c r="F129" s="991"/>
    </row>
    <row r="130" spans="2:6" ht="15.75" thickBot="1" x14ac:dyDescent="0.3">
      <c r="B130" s="160" t="s">
        <v>16</v>
      </c>
      <c r="C130" s="1182" t="s">
        <v>507</v>
      </c>
      <c r="D130" s="993"/>
      <c r="E130" s="993"/>
      <c r="F130" s="994"/>
    </row>
    <row r="131" spans="2:6" ht="23.25" customHeight="1" thickBot="1" x14ac:dyDescent="0.3">
      <c r="B131" s="62" t="s">
        <v>17</v>
      </c>
      <c r="C131" s="1179" t="s">
        <v>508</v>
      </c>
      <c r="D131" s="1180"/>
      <c r="E131" s="1180"/>
      <c r="F131" s="1181"/>
    </row>
    <row r="132" spans="2:6" ht="15.75" thickBot="1" x14ac:dyDescent="0.3">
      <c r="B132" s="62" t="s">
        <v>18</v>
      </c>
      <c r="C132" s="995" t="s">
        <v>493</v>
      </c>
      <c r="D132" s="996"/>
      <c r="E132" s="996"/>
      <c r="F132" s="997"/>
    </row>
    <row r="133" spans="2:6" x14ac:dyDescent="0.25">
      <c r="B133" s="998"/>
      <c r="C133" s="63">
        <v>2018</v>
      </c>
      <c r="D133" s="63">
        <v>2019</v>
      </c>
      <c r="E133" s="63">
        <v>2020</v>
      </c>
      <c r="F133" s="63">
        <v>2021</v>
      </c>
    </row>
    <row r="134" spans="2:6" ht="15.75" thickBot="1" x14ac:dyDescent="0.3">
      <c r="B134" s="999"/>
      <c r="C134" s="64" t="s">
        <v>10</v>
      </c>
      <c r="D134" s="64" t="s">
        <v>11</v>
      </c>
      <c r="E134" s="64" t="s">
        <v>11</v>
      </c>
      <c r="F134" s="64" t="s">
        <v>11</v>
      </c>
    </row>
    <row r="135" spans="2:6" ht="15.75" thickBot="1" x14ac:dyDescent="0.3">
      <c r="B135" s="62" t="s">
        <v>19</v>
      </c>
      <c r="C135" s="161">
        <v>226</v>
      </c>
      <c r="D135" s="161">
        <v>226</v>
      </c>
      <c r="E135" s="161">
        <v>226</v>
      </c>
      <c r="F135" s="161">
        <v>226</v>
      </c>
    </row>
    <row r="136" spans="2:6" ht="15.75" thickBot="1" x14ac:dyDescent="0.3">
      <c r="B136" s="62" t="s">
        <v>20</v>
      </c>
      <c r="C136" s="161">
        <v>273802</v>
      </c>
      <c r="D136" s="161">
        <v>320868</v>
      </c>
      <c r="E136" s="161">
        <v>333633</v>
      </c>
      <c r="F136" s="161">
        <v>335579</v>
      </c>
    </row>
    <row r="137" spans="2:6" ht="15.75" thickBot="1" x14ac:dyDescent="0.3">
      <c r="B137" s="62" t="s">
        <v>21</v>
      </c>
      <c r="C137" s="161">
        <f>C136/C135</f>
        <v>1211.5132743362831</v>
      </c>
      <c r="D137" s="161">
        <f t="shared" ref="D137:F137" si="6">D136/D135</f>
        <v>1419.7699115044247</v>
      </c>
      <c r="E137" s="161">
        <f t="shared" si="6"/>
        <v>1476.2522123893805</v>
      </c>
      <c r="F137" s="161">
        <f t="shared" si="6"/>
        <v>1484.8628318584072</v>
      </c>
    </row>
    <row r="138" spans="2:6" ht="15.75" thickBot="1" x14ac:dyDescent="0.3">
      <c r="B138" s="62" t="s">
        <v>22</v>
      </c>
      <c r="C138" s="145" t="s">
        <v>23</v>
      </c>
      <c r="D138" s="162">
        <f>D135/C135-1</f>
        <v>0</v>
      </c>
      <c r="E138" s="162">
        <f t="shared" ref="E138:F140" si="7">E135/D135-1</f>
        <v>0</v>
      </c>
      <c r="F138" s="162">
        <f t="shared" si="7"/>
        <v>0</v>
      </c>
    </row>
    <row r="139" spans="2:6" ht="15.75" thickBot="1" x14ac:dyDescent="0.3">
      <c r="B139" s="62" t="s">
        <v>24</v>
      </c>
      <c r="C139" s="145" t="s">
        <v>23</v>
      </c>
      <c r="D139" s="162">
        <f>D136/C136-1</f>
        <v>0.17189794084776588</v>
      </c>
      <c r="E139" s="162">
        <f t="shared" si="7"/>
        <v>3.9782714387224694E-2</v>
      </c>
      <c r="F139" s="162">
        <f t="shared" si="7"/>
        <v>5.8327563520395032E-3</v>
      </c>
    </row>
    <row r="140" spans="2:6" ht="15.75" thickBot="1" x14ac:dyDescent="0.3">
      <c r="B140" s="62" t="s">
        <v>25</v>
      </c>
      <c r="C140" s="145" t="s">
        <v>23</v>
      </c>
      <c r="D140" s="162">
        <f>D137/C137-1</f>
        <v>0.17189794084776588</v>
      </c>
      <c r="E140" s="162">
        <f t="shared" si="7"/>
        <v>3.9782714387224694E-2</v>
      </c>
      <c r="F140" s="162">
        <f t="shared" si="7"/>
        <v>5.8327563520395032E-3</v>
      </c>
    </row>
    <row r="141" spans="2:6" ht="15.75" customHeight="1" thickBot="1" x14ac:dyDescent="0.3">
      <c r="B141" s="1000" t="s">
        <v>816</v>
      </c>
      <c r="C141" s="1001"/>
      <c r="D141" s="1001"/>
      <c r="E141" s="1001"/>
      <c r="F141" s="1002"/>
    </row>
    <row r="142" spans="2:6" x14ac:dyDescent="0.25">
      <c r="B142" s="998"/>
      <c r="C142" s="63">
        <v>2018</v>
      </c>
      <c r="D142" s="63">
        <v>2019</v>
      </c>
      <c r="E142" s="63">
        <v>2020</v>
      </c>
      <c r="F142" s="63">
        <v>2021</v>
      </c>
    </row>
    <row r="143" spans="2:6" ht="15.75" thickBot="1" x14ac:dyDescent="0.3">
      <c r="B143" s="999"/>
      <c r="C143" s="64" t="s">
        <v>10</v>
      </c>
      <c r="D143" s="64" t="s">
        <v>11</v>
      </c>
      <c r="E143" s="64" t="s">
        <v>11</v>
      </c>
      <c r="F143" s="64" t="s">
        <v>11</v>
      </c>
    </row>
    <row r="144" spans="2:6" ht="15.75" thickBot="1" x14ac:dyDescent="0.3">
      <c r="B144" s="65" t="s">
        <v>26</v>
      </c>
      <c r="C144" s="164">
        <f>204742-1800</f>
        <v>202942</v>
      </c>
      <c r="D144" s="164">
        <v>242234</v>
      </c>
      <c r="E144" s="164">
        <f>245081-2170</f>
        <v>242911</v>
      </c>
      <c r="F144" s="164">
        <f>245759-2170</f>
        <v>243589</v>
      </c>
    </row>
    <row r="145" spans="2:6" ht="15.75" thickBot="1" x14ac:dyDescent="0.3">
      <c r="B145" s="65" t="s">
        <v>28</v>
      </c>
      <c r="C145" s="164">
        <f>32930</f>
        <v>32930</v>
      </c>
      <c r="D145" s="164">
        <v>39230</v>
      </c>
      <c r="E145" s="164">
        <f>39678-360</f>
        <v>39318</v>
      </c>
      <c r="F145" s="164">
        <v>39406</v>
      </c>
    </row>
    <row r="146" spans="2:6" ht="15.75" thickBot="1" x14ac:dyDescent="0.3">
      <c r="B146" s="65" t="s">
        <v>30</v>
      </c>
      <c r="C146" s="165">
        <v>36596</v>
      </c>
      <c r="D146" s="164">
        <v>37830</v>
      </c>
      <c r="E146" s="164">
        <f>50000-170</f>
        <v>49830</v>
      </c>
      <c r="F146" s="164">
        <v>51010</v>
      </c>
    </row>
    <row r="147" spans="2:6" ht="15.75" thickBot="1" x14ac:dyDescent="0.3">
      <c r="B147" s="65" t="s">
        <v>32</v>
      </c>
      <c r="C147" s="165"/>
      <c r="D147" s="164"/>
      <c r="E147" s="164"/>
      <c r="F147" s="164"/>
    </row>
    <row r="148" spans="2:6" ht="15.75" thickBot="1" x14ac:dyDescent="0.3">
      <c r="B148" s="65" t="s">
        <v>34</v>
      </c>
      <c r="C148" s="165">
        <v>1334</v>
      </c>
      <c r="D148" s="164">
        <v>1574</v>
      </c>
      <c r="E148" s="164">
        <v>1574</v>
      </c>
      <c r="F148" s="164">
        <v>1574</v>
      </c>
    </row>
    <row r="149" spans="2:6" ht="15.75" thickBot="1" x14ac:dyDescent="0.3">
      <c r="B149" s="65" t="s">
        <v>36</v>
      </c>
      <c r="C149" s="165"/>
      <c r="D149" s="164"/>
      <c r="E149" s="164"/>
      <c r="F149" s="164"/>
    </row>
    <row r="150" spans="2:6" ht="15.75" thickBot="1" x14ac:dyDescent="0.3">
      <c r="B150" s="65" t="s">
        <v>38</v>
      </c>
      <c r="C150" s="165"/>
      <c r="D150" s="164"/>
      <c r="E150" s="164"/>
      <c r="F150" s="164"/>
    </row>
    <row r="151" spans="2:6" ht="15.75" thickBot="1" x14ac:dyDescent="0.3">
      <c r="B151" s="196" t="s">
        <v>40</v>
      </c>
      <c r="C151" s="165">
        <f>C150+C149+C148+C147+C146+C145+C144</f>
        <v>273802</v>
      </c>
      <c r="D151" s="165">
        <f>D150+D149+D148+D147+D146+D145+D144</f>
        <v>320868</v>
      </c>
      <c r="E151" s="165">
        <f>E150+E149+E148+E147+E146+E145+E144</f>
        <v>333633</v>
      </c>
      <c r="F151" s="165">
        <f>F150+F149+F148+F147+F146+F145+F144</f>
        <v>335579</v>
      </c>
    </row>
    <row r="152" spans="2:6" ht="15.75" thickBot="1" x14ac:dyDescent="0.3">
      <c r="B152" s="166" t="s">
        <v>41</v>
      </c>
      <c r="C152" s="167">
        <f>IF(C151-C136=0,0,"Error")</f>
        <v>0</v>
      </c>
      <c r="D152" s="167">
        <f>IF(D151-D136=0,0,"Error")</f>
        <v>0</v>
      </c>
      <c r="E152" s="167">
        <f>IF(E151-E136=0,0,"Error")</f>
        <v>0</v>
      </c>
      <c r="F152" s="167">
        <f>IF(F151-F136=0,0,"Error")</f>
        <v>0</v>
      </c>
    </row>
    <row r="153" spans="2:6" ht="15.75" thickBot="1" x14ac:dyDescent="0.3">
      <c r="B153" s="160" t="s">
        <v>42</v>
      </c>
      <c r="C153" s="1179" t="s">
        <v>509</v>
      </c>
      <c r="D153" s="1180"/>
      <c r="E153" s="1180"/>
      <c r="F153" s="1181"/>
    </row>
    <row r="154" spans="2:6" ht="15.75" customHeight="1" thickBot="1" x14ac:dyDescent="0.3">
      <c r="B154" s="62" t="s">
        <v>17</v>
      </c>
      <c r="C154" s="1179" t="s">
        <v>510</v>
      </c>
      <c r="D154" s="1180"/>
      <c r="E154" s="1180"/>
      <c r="F154" s="1181"/>
    </row>
    <row r="155" spans="2:6" ht="15.75" thickBot="1" x14ac:dyDescent="0.3">
      <c r="B155" s="62" t="s">
        <v>18</v>
      </c>
      <c r="C155" s="995" t="s">
        <v>493</v>
      </c>
      <c r="D155" s="996"/>
      <c r="E155" s="996"/>
      <c r="F155" s="997"/>
    </row>
    <row r="156" spans="2:6" x14ac:dyDescent="0.25">
      <c r="B156" s="998"/>
      <c r="C156" s="63">
        <v>2018</v>
      </c>
      <c r="D156" s="63">
        <v>2019</v>
      </c>
      <c r="E156" s="63">
        <v>2020</v>
      </c>
      <c r="F156" s="63">
        <v>2021</v>
      </c>
    </row>
    <row r="157" spans="2:6" ht="15.75" thickBot="1" x14ac:dyDescent="0.3">
      <c r="B157" s="999"/>
      <c r="C157" s="64" t="s">
        <v>10</v>
      </c>
      <c r="D157" s="64" t="s">
        <v>11</v>
      </c>
      <c r="E157" s="64" t="s">
        <v>11</v>
      </c>
      <c r="F157" s="64" t="s">
        <v>11</v>
      </c>
    </row>
    <row r="158" spans="2:6" ht="15.75" thickBot="1" x14ac:dyDescent="0.3">
      <c r="B158" s="62" t="s">
        <v>19</v>
      </c>
      <c r="C158" s="161">
        <v>6</v>
      </c>
      <c r="D158" s="161">
        <v>7</v>
      </c>
      <c r="E158" s="161">
        <v>7</v>
      </c>
      <c r="F158" s="161">
        <v>8</v>
      </c>
    </row>
    <row r="159" spans="2:6" ht="15.75" thickBot="1" x14ac:dyDescent="0.3">
      <c r="B159" s="62" t="s">
        <v>20</v>
      </c>
      <c r="C159" s="161">
        <v>2300</v>
      </c>
      <c r="D159" s="161">
        <v>2700</v>
      </c>
      <c r="E159" s="161">
        <v>2700</v>
      </c>
      <c r="F159" s="161">
        <v>2700</v>
      </c>
    </row>
    <row r="160" spans="2:6" ht="15.75" thickBot="1" x14ac:dyDescent="0.3">
      <c r="B160" s="62" t="s">
        <v>21</v>
      </c>
      <c r="C160" s="161">
        <f>C159/C158</f>
        <v>383.33333333333331</v>
      </c>
      <c r="D160" s="161">
        <f t="shared" ref="D160:F160" si="8">D159/D158</f>
        <v>385.71428571428572</v>
      </c>
      <c r="E160" s="161">
        <f t="shared" si="8"/>
        <v>385.71428571428572</v>
      </c>
      <c r="F160" s="161">
        <f t="shared" si="8"/>
        <v>337.5</v>
      </c>
    </row>
    <row r="161" spans="2:6" ht="15.75" thickBot="1" x14ac:dyDescent="0.3">
      <c r="B161" s="62" t="s">
        <v>22</v>
      </c>
      <c r="C161" s="145" t="s">
        <v>23</v>
      </c>
      <c r="D161" s="162">
        <f>D158/C158-1</f>
        <v>0.16666666666666674</v>
      </c>
      <c r="E161" s="162">
        <f t="shared" ref="E161:F163" si="9">E158/D158-1</f>
        <v>0</v>
      </c>
      <c r="F161" s="162">
        <f t="shared" si="9"/>
        <v>0.14285714285714279</v>
      </c>
    </row>
    <row r="162" spans="2:6" ht="15.75" thickBot="1" x14ac:dyDescent="0.3">
      <c r="B162" s="62" t="s">
        <v>24</v>
      </c>
      <c r="C162" s="145" t="s">
        <v>23</v>
      </c>
      <c r="D162" s="162">
        <f>D159/C159-1</f>
        <v>0.17391304347826098</v>
      </c>
      <c r="E162" s="162">
        <f t="shared" si="9"/>
        <v>0</v>
      </c>
      <c r="F162" s="162">
        <f t="shared" si="9"/>
        <v>0</v>
      </c>
    </row>
    <row r="163" spans="2:6" ht="15.75" thickBot="1" x14ac:dyDescent="0.3">
      <c r="B163" s="62" t="s">
        <v>25</v>
      </c>
      <c r="C163" s="145" t="s">
        <v>23</v>
      </c>
      <c r="D163" s="162">
        <f>D160/C160-1</f>
        <v>6.2111801242237252E-3</v>
      </c>
      <c r="E163" s="162">
        <f t="shared" si="9"/>
        <v>0</v>
      </c>
      <c r="F163" s="162">
        <f t="shared" si="9"/>
        <v>-0.125</v>
      </c>
    </row>
    <row r="164" spans="2:6" ht="15.75" thickBot="1" x14ac:dyDescent="0.3">
      <c r="B164" s="1000" t="s">
        <v>796</v>
      </c>
      <c r="C164" s="1001"/>
      <c r="D164" s="1001"/>
      <c r="E164" s="1001"/>
      <c r="F164" s="1002"/>
    </row>
    <row r="165" spans="2:6" x14ac:dyDescent="0.25">
      <c r="B165" s="998"/>
      <c r="C165" s="63">
        <v>2018</v>
      </c>
      <c r="D165" s="63">
        <v>2019</v>
      </c>
      <c r="E165" s="63">
        <v>2020</v>
      </c>
      <c r="F165" s="63">
        <v>2021</v>
      </c>
    </row>
    <row r="166" spans="2:6" ht="15.75" thickBot="1" x14ac:dyDescent="0.3">
      <c r="B166" s="999"/>
      <c r="C166" s="64" t="s">
        <v>10</v>
      </c>
      <c r="D166" s="64" t="s">
        <v>11</v>
      </c>
      <c r="E166" s="64" t="s">
        <v>11</v>
      </c>
      <c r="F166" s="64" t="s">
        <v>11</v>
      </c>
    </row>
    <row r="167" spans="2:6" ht="15.75" thickBot="1" x14ac:dyDescent="0.3">
      <c r="B167" s="65" t="s">
        <v>26</v>
      </c>
      <c r="C167" s="164">
        <v>1800</v>
      </c>
      <c r="D167" s="164">
        <v>2170</v>
      </c>
      <c r="E167" s="164">
        <v>2170</v>
      </c>
      <c r="F167" s="164">
        <v>2170</v>
      </c>
    </row>
    <row r="168" spans="2:6" ht="15.75" thickBot="1" x14ac:dyDescent="0.3">
      <c r="B168" s="65" t="s">
        <v>28</v>
      </c>
      <c r="C168" s="164">
        <v>300</v>
      </c>
      <c r="D168" s="164">
        <v>360</v>
      </c>
      <c r="E168" s="164">
        <v>360</v>
      </c>
      <c r="F168" s="164">
        <v>360</v>
      </c>
    </row>
    <row r="169" spans="2:6" ht="15.75" thickBot="1" x14ac:dyDescent="0.3">
      <c r="B169" s="65" t="s">
        <v>30</v>
      </c>
      <c r="C169" s="165">
        <v>200</v>
      </c>
      <c r="D169" s="164">
        <v>170</v>
      </c>
      <c r="E169" s="164">
        <v>170</v>
      </c>
      <c r="F169" s="164">
        <v>170</v>
      </c>
    </row>
    <row r="170" spans="2:6" ht="15.75" thickBot="1" x14ac:dyDescent="0.3">
      <c r="B170" s="65" t="s">
        <v>32</v>
      </c>
      <c r="C170" s="165"/>
      <c r="D170" s="164"/>
      <c r="E170" s="164"/>
      <c r="F170" s="164"/>
    </row>
    <row r="171" spans="2:6" ht="15.75" thickBot="1" x14ac:dyDescent="0.3">
      <c r="B171" s="65" t="s">
        <v>34</v>
      </c>
      <c r="C171" s="165"/>
      <c r="D171" s="164"/>
      <c r="E171" s="164"/>
      <c r="F171" s="164"/>
    </row>
    <row r="172" spans="2:6" ht="15.75" thickBot="1" x14ac:dyDescent="0.3">
      <c r="B172" s="65" t="s">
        <v>36</v>
      </c>
      <c r="C172" s="165"/>
      <c r="D172" s="164"/>
      <c r="E172" s="164"/>
      <c r="F172" s="164"/>
    </row>
    <row r="173" spans="2:6" ht="15.75" thickBot="1" x14ac:dyDescent="0.3">
      <c r="B173" s="65" t="s">
        <v>38</v>
      </c>
      <c r="C173" s="165"/>
      <c r="D173" s="164"/>
      <c r="E173" s="164"/>
      <c r="F173" s="164"/>
    </row>
    <row r="174" spans="2:6" ht="15.75" thickBot="1" x14ac:dyDescent="0.3">
      <c r="B174" s="196" t="s">
        <v>43</v>
      </c>
      <c r="C174" s="165">
        <f>C173+C172+C171+C170+C169+C168+C167</f>
        <v>2300</v>
      </c>
      <c r="D174" s="165">
        <f>D173+D172+D171+D170+D169+D168+D167</f>
        <v>2700</v>
      </c>
      <c r="E174" s="165">
        <f>E173+E172+E171+E170+E169+E168+E167</f>
        <v>2700</v>
      </c>
      <c r="F174" s="165">
        <f>F173+F172+F171+F170+F169+F168+F167</f>
        <v>2700</v>
      </c>
    </row>
    <row r="175" spans="2:6" ht="15.75" thickBot="1" x14ac:dyDescent="0.3">
      <c r="B175" s="166" t="s">
        <v>41</v>
      </c>
      <c r="C175" s="167">
        <f>IF(C174-C159=0,0,"Error")</f>
        <v>0</v>
      </c>
      <c r="D175" s="167">
        <f>IF(D174-D159=0,0,"Error")</f>
        <v>0</v>
      </c>
      <c r="E175" s="167">
        <f>IF(E174-E159=0,0,"Error")</f>
        <v>0</v>
      </c>
      <c r="F175" s="167">
        <f>IF(F174-F159=0,0,"Error")</f>
        <v>0</v>
      </c>
    </row>
    <row r="176" spans="2:6" ht="24.75" customHeight="1" thickBot="1" x14ac:dyDescent="0.3">
      <c r="B176" s="158" t="s">
        <v>78</v>
      </c>
      <c r="C176" s="1179" t="s">
        <v>511</v>
      </c>
      <c r="D176" s="1180"/>
      <c r="E176" s="1180"/>
      <c r="F176" s="1181"/>
    </row>
    <row r="177" spans="2:12" ht="15.75" customHeight="1" thickBot="1" x14ac:dyDescent="0.3">
      <c r="B177" s="983" t="s">
        <v>195</v>
      </c>
      <c r="C177" s="984"/>
      <c r="D177" s="984"/>
      <c r="E177" s="984"/>
      <c r="F177" s="985"/>
    </row>
    <row r="178" spans="2:12" ht="15.75" thickBot="1" x14ac:dyDescent="0.3">
      <c r="B178" s="65" t="s">
        <v>512</v>
      </c>
      <c r="C178" s="157">
        <v>0.01</v>
      </c>
      <c r="D178" s="157">
        <v>0.11</v>
      </c>
      <c r="E178" s="157">
        <v>0</v>
      </c>
      <c r="F178" s="157">
        <v>0</v>
      </c>
    </row>
    <row r="179" spans="2:12" ht="15.75" thickBot="1" x14ac:dyDescent="0.3">
      <c r="B179" s="65" t="s">
        <v>513</v>
      </c>
      <c r="C179" s="157">
        <v>0</v>
      </c>
      <c r="D179" s="157">
        <v>0.2</v>
      </c>
      <c r="E179" s="157">
        <v>0</v>
      </c>
      <c r="F179" s="157">
        <v>0.1</v>
      </c>
    </row>
    <row r="180" spans="2:12" ht="15.75" thickBot="1" x14ac:dyDescent="0.3">
      <c r="B180" s="989" t="s">
        <v>346</v>
      </c>
      <c r="C180" s="990"/>
      <c r="D180" s="990"/>
      <c r="E180" s="990"/>
      <c r="F180" s="991"/>
    </row>
    <row r="181" spans="2:12" ht="15.75" thickBot="1" x14ac:dyDescent="0.3">
      <c r="B181" s="989" t="s">
        <v>63</v>
      </c>
      <c r="C181" s="990"/>
      <c r="D181" s="990"/>
      <c r="E181" s="990"/>
      <c r="F181" s="991"/>
    </row>
    <row r="182" spans="2:12" ht="15.75" thickBot="1" x14ac:dyDescent="0.3">
      <c r="B182" s="989" t="s">
        <v>56</v>
      </c>
      <c r="C182" s="990"/>
      <c r="D182" s="990"/>
      <c r="E182" s="990"/>
      <c r="F182" s="991"/>
    </row>
    <row r="183" spans="2:12" ht="15.75" thickBot="1" x14ac:dyDescent="0.3">
      <c r="B183" s="67" t="s">
        <v>79</v>
      </c>
      <c r="C183" s="1009" t="s">
        <v>130</v>
      </c>
      <c r="D183" s="1010"/>
      <c r="E183" s="1010"/>
      <c r="F183" s="1011"/>
    </row>
    <row r="184" spans="2:12" ht="15.75" thickBot="1" x14ac:dyDescent="0.3">
      <c r="B184" s="160" t="s">
        <v>16</v>
      </c>
      <c r="C184" s="1009" t="s">
        <v>514</v>
      </c>
      <c r="D184" s="1010"/>
      <c r="E184" s="1010"/>
      <c r="F184" s="1011"/>
    </row>
    <row r="185" spans="2:12" ht="33.75" customHeight="1" thickBot="1" x14ac:dyDescent="0.3">
      <c r="B185" s="62" t="s">
        <v>17</v>
      </c>
      <c r="C185" s="1049" t="s">
        <v>515</v>
      </c>
      <c r="D185" s="1050"/>
      <c r="E185" s="1050"/>
      <c r="F185" s="1051"/>
    </row>
    <row r="186" spans="2:12" ht="15.75" thickBot="1" x14ac:dyDescent="0.3">
      <c r="B186" s="62" t="s">
        <v>18</v>
      </c>
      <c r="C186" s="995" t="s">
        <v>493</v>
      </c>
      <c r="D186" s="996"/>
      <c r="E186" s="996"/>
      <c r="F186" s="997"/>
    </row>
    <row r="187" spans="2:12" ht="12.75" customHeight="1" x14ac:dyDescent="0.25">
      <c r="B187" s="998"/>
      <c r="C187" s="63">
        <v>2018</v>
      </c>
      <c r="D187" s="63">
        <v>2019</v>
      </c>
      <c r="E187" s="63">
        <v>2020</v>
      </c>
      <c r="F187" s="63">
        <v>2021</v>
      </c>
    </row>
    <row r="188" spans="2:12" ht="9" customHeight="1" thickBot="1" x14ac:dyDescent="0.3">
      <c r="B188" s="999"/>
      <c r="C188" s="64" t="s">
        <v>10</v>
      </c>
      <c r="D188" s="64" t="s">
        <v>11</v>
      </c>
      <c r="E188" s="64" t="s">
        <v>11</v>
      </c>
      <c r="F188" s="64" t="s">
        <v>11</v>
      </c>
    </row>
    <row r="189" spans="2:12" ht="15.75" thickBot="1" x14ac:dyDescent="0.3">
      <c r="B189" s="62" t="s">
        <v>19</v>
      </c>
      <c r="C189" s="161">
        <v>9</v>
      </c>
      <c r="D189" s="161">
        <v>10</v>
      </c>
      <c r="E189" s="161">
        <v>10</v>
      </c>
      <c r="F189" s="161">
        <v>10</v>
      </c>
    </row>
    <row r="190" spans="2:12" ht="15.75" thickBot="1" x14ac:dyDescent="0.3">
      <c r="B190" s="62" t="s">
        <v>20</v>
      </c>
      <c r="C190" s="161">
        <v>5000</v>
      </c>
      <c r="D190" s="161">
        <v>3260</v>
      </c>
      <c r="E190" s="161">
        <v>3260</v>
      </c>
      <c r="F190" s="161">
        <v>3260</v>
      </c>
    </row>
    <row r="191" spans="2:12" ht="15.75" thickBot="1" x14ac:dyDescent="0.3">
      <c r="B191" s="62" t="s">
        <v>21</v>
      </c>
      <c r="C191" s="161">
        <f>C190/C189</f>
        <v>555.55555555555554</v>
      </c>
      <c r="D191" s="161">
        <f t="shared" ref="D191:F191" si="10">D190/D189</f>
        <v>326</v>
      </c>
      <c r="E191" s="161">
        <f t="shared" si="10"/>
        <v>326</v>
      </c>
      <c r="F191" s="161">
        <f t="shared" si="10"/>
        <v>326</v>
      </c>
    </row>
    <row r="192" spans="2:12" ht="15.75" thickBot="1" x14ac:dyDescent="0.3">
      <c r="B192" s="62" t="s">
        <v>22</v>
      </c>
      <c r="C192" s="145" t="s">
        <v>23</v>
      </c>
      <c r="D192" s="162">
        <f>D189/C189-1</f>
        <v>0.11111111111111116</v>
      </c>
      <c r="E192" s="162">
        <f t="shared" ref="E192:F194" si="11">E189/D189-1</f>
        <v>0</v>
      </c>
      <c r="F192" s="162">
        <f t="shared" si="11"/>
        <v>0</v>
      </c>
      <c r="H192" s="163"/>
      <c r="I192" s="163"/>
      <c r="J192" s="163"/>
      <c r="K192" s="163"/>
      <c r="L192" s="163"/>
    </row>
    <row r="193" spans="2:6" ht="15.75" thickBot="1" x14ac:dyDescent="0.3">
      <c r="B193" s="62" t="s">
        <v>24</v>
      </c>
      <c r="C193" s="145" t="s">
        <v>23</v>
      </c>
      <c r="D193" s="162">
        <f>D190/C190-1</f>
        <v>-0.34799999999999998</v>
      </c>
      <c r="E193" s="162">
        <f t="shared" si="11"/>
        <v>0</v>
      </c>
      <c r="F193" s="162">
        <f t="shared" si="11"/>
        <v>0</v>
      </c>
    </row>
    <row r="194" spans="2:6" ht="15.75" thickBot="1" x14ac:dyDescent="0.3">
      <c r="B194" s="62" t="s">
        <v>25</v>
      </c>
      <c r="C194" s="145" t="s">
        <v>23</v>
      </c>
      <c r="D194" s="162">
        <f>D191/C191-1</f>
        <v>-0.41320000000000001</v>
      </c>
      <c r="E194" s="162">
        <f t="shared" si="11"/>
        <v>0</v>
      </c>
      <c r="F194" s="162">
        <f t="shared" si="11"/>
        <v>0</v>
      </c>
    </row>
    <row r="195" spans="2:6" ht="15.75" thickBot="1" x14ac:dyDescent="0.3">
      <c r="B195" s="1000" t="s">
        <v>784</v>
      </c>
      <c r="C195" s="1001"/>
      <c r="D195" s="1001"/>
      <c r="E195" s="1001"/>
      <c r="F195" s="1002"/>
    </row>
    <row r="196" spans="2:6" ht="12.75" customHeight="1" x14ac:dyDescent="0.25">
      <c r="B196" s="998"/>
      <c r="C196" s="63">
        <v>2018</v>
      </c>
      <c r="D196" s="63">
        <v>2019</v>
      </c>
      <c r="E196" s="63">
        <v>2020</v>
      </c>
      <c r="F196" s="63">
        <v>2021</v>
      </c>
    </row>
    <row r="197" spans="2:6" ht="9" customHeight="1" thickBot="1" x14ac:dyDescent="0.3">
      <c r="B197" s="999"/>
      <c r="C197" s="64" t="s">
        <v>10</v>
      </c>
      <c r="D197" s="64" t="s">
        <v>11</v>
      </c>
      <c r="E197" s="64" t="s">
        <v>11</v>
      </c>
      <c r="F197" s="64" t="s">
        <v>11</v>
      </c>
    </row>
    <row r="198" spans="2:6" ht="15.75" thickBot="1" x14ac:dyDescent="0.3">
      <c r="B198" s="65" t="s">
        <v>58</v>
      </c>
      <c r="C198" s="164"/>
      <c r="D198" s="164"/>
      <c r="E198" s="164"/>
      <c r="F198" s="164"/>
    </row>
    <row r="199" spans="2:6" ht="15.75" thickBot="1" x14ac:dyDescent="0.3">
      <c r="B199" s="65" t="s">
        <v>59</v>
      </c>
      <c r="C199" s="161">
        <v>5000</v>
      </c>
      <c r="D199" s="161">
        <v>3260</v>
      </c>
      <c r="E199" s="161">
        <v>3260</v>
      </c>
      <c r="F199" s="161">
        <v>3260</v>
      </c>
    </row>
    <row r="200" spans="2:6" ht="15.75" thickBot="1" x14ac:dyDescent="0.3">
      <c r="B200" s="66" t="s">
        <v>40</v>
      </c>
      <c r="C200" s="165">
        <f>C199+C198</f>
        <v>5000</v>
      </c>
      <c r="D200" s="165">
        <f t="shared" ref="D200:F200" si="12">D199+D198</f>
        <v>3260</v>
      </c>
      <c r="E200" s="165">
        <f t="shared" si="12"/>
        <v>3260</v>
      </c>
      <c r="F200" s="165">
        <f t="shared" si="12"/>
        <v>3260</v>
      </c>
    </row>
    <row r="201" spans="2:6" x14ac:dyDescent="0.25">
      <c r="B201" s="1015" t="s">
        <v>60</v>
      </c>
      <c r="C201" s="1036"/>
      <c r="D201" s="1037"/>
      <c r="E201" s="1037"/>
      <c r="F201" s="1038"/>
    </row>
    <row r="202" spans="2:6" ht="1.5" customHeight="1" x14ac:dyDescent="0.25">
      <c r="B202" s="1016"/>
      <c r="C202" s="1039"/>
      <c r="D202" s="1040"/>
      <c r="E202" s="1040"/>
      <c r="F202" s="1041"/>
    </row>
    <row r="203" spans="2:6" ht="15.75" thickBot="1" x14ac:dyDescent="0.3">
      <c r="B203" s="1017"/>
      <c r="C203" s="1042"/>
      <c r="D203" s="1043"/>
      <c r="E203" s="1043"/>
      <c r="F203" s="1044"/>
    </row>
    <row r="204" spans="2:6" ht="15.75" thickBot="1" x14ac:dyDescent="0.3">
      <c r="B204" s="67" t="s">
        <v>61</v>
      </c>
      <c r="C204" s="1009" t="s">
        <v>130</v>
      </c>
      <c r="D204" s="1010"/>
      <c r="E204" s="1010"/>
      <c r="F204" s="1011"/>
    </row>
    <row r="205" spans="2:6" ht="15.75" thickBot="1" x14ac:dyDescent="0.3">
      <c r="B205" s="160" t="s">
        <v>42</v>
      </c>
      <c r="C205" s="992" t="s">
        <v>516</v>
      </c>
      <c r="D205" s="993"/>
      <c r="E205" s="993"/>
      <c r="F205" s="994"/>
    </row>
    <row r="206" spans="2:6" ht="21" customHeight="1" thickBot="1" x14ac:dyDescent="0.3">
      <c r="B206" s="62" t="s">
        <v>17</v>
      </c>
      <c r="C206" s="1167" t="s">
        <v>517</v>
      </c>
      <c r="D206" s="1168"/>
      <c r="E206" s="1168"/>
      <c r="F206" s="1169"/>
    </row>
    <row r="207" spans="2:6" ht="15.75" thickBot="1" x14ac:dyDescent="0.3">
      <c r="B207" s="62" t="s">
        <v>18</v>
      </c>
      <c r="C207" s="1170" t="s">
        <v>518</v>
      </c>
      <c r="D207" s="1171"/>
      <c r="E207" s="1171"/>
      <c r="F207" s="1172"/>
    </row>
    <row r="208" spans="2:6" ht="12.75" customHeight="1" x14ac:dyDescent="0.25">
      <c r="B208" s="998"/>
      <c r="C208" s="63">
        <v>2018</v>
      </c>
      <c r="D208" s="63">
        <v>2019</v>
      </c>
      <c r="E208" s="63">
        <v>2020</v>
      </c>
      <c r="F208" s="63">
        <v>2021</v>
      </c>
    </row>
    <row r="209" spans="2:12" ht="18.75" customHeight="1" thickBot="1" x14ac:dyDescent="0.3">
      <c r="B209" s="999"/>
      <c r="C209" s="64" t="s">
        <v>10</v>
      </c>
      <c r="D209" s="64" t="s">
        <v>11</v>
      </c>
      <c r="E209" s="64" t="s">
        <v>11</v>
      </c>
      <c r="F209" s="64" t="s">
        <v>11</v>
      </c>
    </row>
    <row r="210" spans="2:12" ht="15.75" thickBot="1" x14ac:dyDescent="0.3">
      <c r="B210" s="62" t="s">
        <v>19</v>
      </c>
      <c r="C210" s="161">
        <v>10</v>
      </c>
      <c r="D210" s="161">
        <v>12</v>
      </c>
      <c r="E210" s="161">
        <v>11</v>
      </c>
      <c r="F210" s="161">
        <v>12</v>
      </c>
    </row>
    <row r="211" spans="2:12" ht="15.75" thickBot="1" x14ac:dyDescent="0.3">
      <c r="B211" s="62" t="s">
        <v>20</v>
      </c>
      <c r="C211" s="161">
        <v>2000</v>
      </c>
      <c r="D211" s="161">
        <v>3350</v>
      </c>
      <c r="E211" s="161">
        <v>2000</v>
      </c>
      <c r="F211" s="161">
        <v>3350</v>
      </c>
    </row>
    <row r="212" spans="2:12" ht="15.75" thickBot="1" x14ac:dyDescent="0.3">
      <c r="B212" s="62" t="s">
        <v>21</v>
      </c>
      <c r="C212" s="161">
        <f>C211/C210</f>
        <v>200</v>
      </c>
      <c r="D212" s="161">
        <f t="shared" ref="D212:F212" si="13">D211/D210</f>
        <v>279.16666666666669</v>
      </c>
      <c r="E212" s="161">
        <f t="shared" si="13"/>
        <v>181.81818181818181</v>
      </c>
      <c r="F212" s="161">
        <f t="shared" si="13"/>
        <v>279.16666666666669</v>
      </c>
    </row>
    <row r="213" spans="2:12" ht="15.75" thickBot="1" x14ac:dyDescent="0.3">
      <c r="B213" s="62" t="s">
        <v>22</v>
      </c>
      <c r="C213" s="145" t="s">
        <v>23</v>
      </c>
      <c r="D213" s="162">
        <f>D210/C210-1</f>
        <v>0.19999999999999996</v>
      </c>
      <c r="E213" s="162">
        <f t="shared" ref="E213:F215" si="14">E210/D210-1</f>
        <v>-8.333333333333337E-2</v>
      </c>
      <c r="F213" s="162">
        <f t="shared" si="14"/>
        <v>9.0909090909090828E-2</v>
      </c>
      <c r="H213" s="163"/>
      <c r="I213" s="163"/>
      <c r="J213" s="163"/>
      <c r="K213" s="163"/>
      <c r="L213" s="163"/>
    </row>
    <row r="214" spans="2:12" ht="15.75" thickBot="1" x14ac:dyDescent="0.3">
      <c r="B214" s="62" t="s">
        <v>24</v>
      </c>
      <c r="C214" s="145" t="s">
        <v>23</v>
      </c>
      <c r="D214" s="162">
        <f>D211/C211-1</f>
        <v>0.67500000000000004</v>
      </c>
      <c r="E214" s="162">
        <f t="shared" si="14"/>
        <v>-0.40298507462686572</v>
      </c>
      <c r="F214" s="162">
        <f t="shared" si="14"/>
        <v>0.67500000000000004</v>
      </c>
    </row>
    <row r="215" spans="2:12" ht="15.75" thickBot="1" x14ac:dyDescent="0.3">
      <c r="B215" s="62" t="s">
        <v>25</v>
      </c>
      <c r="C215" s="145" t="s">
        <v>23</v>
      </c>
      <c r="D215" s="162">
        <f>D212/C212-1</f>
        <v>0.39583333333333348</v>
      </c>
      <c r="E215" s="162">
        <f t="shared" si="14"/>
        <v>-0.34871099050203536</v>
      </c>
      <c r="F215" s="162">
        <f t="shared" si="14"/>
        <v>0.53541666666666687</v>
      </c>
    </row>
    <row r="216" spans="2:12" ht="15.75" thickBot="1" x14ac:dyDescent="0.3">
      <c r="B216" s="1000" t="s">
        <v>797</v>
      </c>
      <c r="C216" s="1001"/>
      <c r="D216" s="1001"/>
      <c r="E216" s="1001"/>
      <c r="F216" s="1002"/>
    </row>
    <row r="217" spans="2:12" ht="12.75" customHeight="1" x14ac:dyDescent="0.25">
      <c r="B217" s="998"/>
      <c r="C217" s="63">
        <v>2018</v>
      </c>
      <c r="D217" s="63">
        <v>2019</v>
      </c>
      <c r="E217" s="63">
        <v>2020</v>
      </c>
      <c r="F217" s="63">
        <v>2021</v>
      </c>
    </row>
    <row r="218" spans="2:12" ht="26.25" customHeight="1" thickBot="1" x14ac:dyDescent="0.3">
      <c r="B218" s="999"/>
      <c r="C218" s="64" t="s">
        <v>10</v>
      </c>
      <c r="D218" s="64" t="s">
        <v>11</v>
      </c>
      <c r="E218" s="64" t="s">
        <v>11</v>
      </c>
      <c r="F218" s="64" t="s">
        <v>11</v>
      </c>
    </row>
    <row r="219" spans="2:12" ht="15.75" thickBot="1" x14ac:dyDescent="0.3">
      <c r="B219" s="65" t="s">
        <v>58</v>
      </c>
      <c r="C219" s="164"/>
      <c r="D219" s="164"/>
      <c r="E219" s="164"/>
      <c r="F219" s="164"/>
    </row>
    <row r="220" spans="2:12" ht="15.75" thickBot="1" x14ac:dyDescent="0.3">
      <c r="B220" s="65" t="s">
        <v>59</v>
      </c>
      <c r="C220" s="161">
        <v>2000</v>
      </c>
      <c r="D220" s="161">
        <v>3350</v>
      </c>
      <c r="E220" s="161">
        <v>2000</v>
      </c>
      <c r="F220" s="161">
        <v>3350</v>
      </c>
    </row>
    <row r="221" spans="2:12" ht="15.75" thickBot="1" x14ac:dyDescent="0.3">
      <c r="B221" s="66" t="s">
        <v>43</v>
      </c>
      <c r="C221" s="165">
        <f>C220+C219</f>
        <v>2000</v>
      </c>
      <c r="D221" s="165">
        <f t="shared" ref="D221:F221" si="15">D220+D219</f>
        <v>3350</v>
      </c>
      <c r="E221" s="165">
        <f t="shared" si="15"/>
        <v>2000</v>
      </c>
      <c r="F221" s="165">
        <f t="shared" si="15"/>
        <v>3350</v>
      </c>
    </row>
    <row r="222" spans="2:12" ht="15.75" thickBot="1" x14ac:dyDescent="0.3">
      <c r="B222" s="160" t="s">
        <v>44</v>
      </c>
      <c r="C222" s="1173" t="s">
        <v>519</v>
      </c>
      <c r="D222" s="1174"/>
      <c r="E222" s="1174"/>
      <c r="F222" s="1175"/>
    </row>
    <row r="223" spans="2:12" ht="15.75" thickBot="1" x14ac:dyDescent="0.3">
      <c r="B223" s="62" t="s">
        <v>17</v>
      </c>
      <c r="C223" s="259" t="s">
        <v>520</v>
      </c>
      <c r="D223" s="260"/>
      <c r="E223" s="260"/>
      <c r="F223" s="261"/>
    </row>
    <row r="224" spans="2:12" ht="15.75" thickBot="1" x14ac:dyDescent="0.3">
      <c r="B224" s="62" t="s">
        <v>18</v>
      </c>
      <c r="C224" s="1176" t="s">
        <v>111</v>
      </c>
      <c r="D224" s="1177"/>
      <c r="E224" s="1177"/>
      <c r="F224" s="1178"/>
    </row>
    <row r="225" spans="2:12" ht="12.75" customHeight="1" x14ac:dyDescent="0.25">
      <c r="B225" s="998"/>
      <c r="C225" s="63">
        <v>2018</v>
      </c>
      <c r="D225" s="63">
        <v>2019</v>
      </c>
      <c r="E225" s="63">
        <v>2020</v>
      </c>
      <c r="F225" s="63">
        <v>2021</v>
      </c>
    </row>
    <row r="226" spans="2:12" ht="23.25" customHeight="1" thickBot="1" x14ac:dyDescent="0.3">
      <c r="B226" s="999"/>
      <c r="C226" s="64" t="s">
        <v>10</v>
      </c>
      <c r="D226" s="64" t="s">
        <v>11</v>
      </c>
      <c r="E226" s="64" t="s">
        <v>11</v>
      </c>
      <c r="F226" s="64" t="s">
        <v>11</v>
      </c>
    </row>
    <row r="227" spans="2:12" ht="15.75" thickBot="1" x14ac:dyDescent="0.3">
      <c r="B227" s="62" t="s">
        <v>19</v>
      </c>
      <c r="C227" s="161"/>
      <c r="D227" s="161">
        <v>4</v>
      </c>
      <c r="E227" s="161">
        <v>14</v>
      </c>
      <c r="F227" s="161">
        <v>4</v>
      </c>
    </row>
    <row r="228" spans="2:12" ht="15.75" thickBot="1" x14ac:dyDescent="0.3">
      <c r="B228" s="62" t="s">
        <v>20</v>
      </c>
      <c r="C228" s="161"/>
      <c r="D228" s="161">
        <v>390</v>
      </c>
      <c r="E228" s="161">
        <v>1740</v>
      </c>
      <c r="F228" s="161">
        <v>390</v>
      </c>
    </row>
    <row r="229" spans="2:12" ht="15.75" thickBot="1" x14ac:dyDescent="0.3">
      <c r="B229" s="62" t="s">
        <v>21</v>
      </c>
      <c r="C229" s="161"/>
      <c r="D229" s="161">
        <f t="shared" ref="D229:F229" si="16">D228/D227</f>
        <v>97.5</v>
      </c>
      <c r="E229" s="161">
        <f t="shared" si="16"/>
        <v>124.28571428571429</v>
      </c>
      <c r="F229" s="161">
        <f t="shared" si="16"/>
        <v>97.5</v>
      </c>
    </row>
    <row r="230" spans="2:12" ht="15.75" thickBot="1" x14ac:dyDescent="0.3">
      <c r="B230" s="62" t="s">
        <v>22</v>
      </c>
      <c r="C230" s="145" t="s">
        <v>23</v>
      </c>
      <c r="D230" s="162" t="e">
        <f>D227/C227-1</f>
        <v>#DIV/0!</v>
      </c>
      <c r="E230" s="162">
        <f t="shared" ref="E230:F232" si="17">E227/D227-1</f>
        <v>2.5</v>
      </c>
      <c r="F230" s="162">
        <f t="shared" si="17"/>
        <v>-0.7142857142857143</v>
      </c>
      <c r="H230" s="163"/>
      <c r="I230" s="163"/>
      <c r="J230" s="163"/>
      <c r="K230" s="163"/>
      <c r="L230" s="163"/>
    </row>
    <row r="231" spans="2:12" ht="15.75" thickBot="1" x14ac:dyDescent="0.3">
      <c r="B231" s="62" t="s">
        <v>24</v>
      </c>
      <c r="C231" s="145" t="s">
        <v>23</v>
      </c>
      <c r="D231" s="162" t="e">
        <f>D228/C228-1</f>
        <v>#DIV/0!</v>
      </c>
      <c r="E231" s="162">
        <f t="shared" si="17"/>
        <v>3.4615384615384617</v>
      </c>
      <c r="F231" s="162">
        <f t="shared" si="17"/>
        <v>-0.77586206896551724</v>
      </c>
    </row>
    <row r="232" spans="2:12" ht="15.75" thickBot="1" x14ac:dyDescent="0.3">
      <c r="B232" s="62" t="s">
        <v>25</v>
      </c>
      <c r="C232" s="145" t="s">
        <v>23</v>
      </c>
      <c r="D232" s="162" t="e">
        <f>D229/C229-1</f>
        <v>#DIV/0!</v>
      </c>
      <c r="E232" s="162">
        <f t="shared" si="17"/>
        <v>0.27472527472527486</v>
      </c>
      <c r="F232" s="162">
        <f t="shared" si="17"/>
        <v>-0.21551724137931039</v>
      </c>
    </row>
    <row r="233" spans="2:12" ht="15.75" thickBot="1" x14ac:dyDescent="0.3">
      <c r="B233" s="1000" t="s">
        <v>787</v>
      </c>
      <c r="C233" s="1001"/>
      <c r="D233" s="1001"/>
      <c r="E233" s="1001"/>
      <c r="F233" s="1002"/>
    </row>
    <row r="234" spans="2:12" ht="12.75" customHeight="1" x14ac:dyDescent="0.25">
      <c r="B234" s="998"/>
      <c r="C234" s="63">
        <v>2018</v>
      </c>
      <c r="D234" s="63">
        <v>2019</v>
      </c>
      <c r="E234" s="63">
        <v>2020</v>
      </c>
      <c r="F234" s="63">
        <v>2021</v>
      </c>
    </row>
    <row r="235" spans="2:12" ht="25.5" customHeight="1" thickBot="1" x14ac:dyDescent="0.3">
      <c r="B235" s="999"/>
      <c r="C235" s="64" t="s">
        <v>10</v>
      </c>
      <c r="D235" s="64" t="s">
        <v>11</v>
      </c>
      <c r="E235" s="64" t="s">
        <v>11</v>
      </c>
      <c r="F235" s="64" t="s">
        <v>11</v>
      </c>
    </row>
    <row r="236" spans="2:12" ht="15.75" thickBot="1" x14ac:dyDescent="0.3">
      <c r="B236" s="65" t="s">
        <v>58</v>
      </c>
      <c r="C236" s="164"/>
      <c r="D236" s="164"/>
      <c r="E236" s="164"/>
      <c r="F236" s="164"/>
    </row>
    <row r="237" spans="2:12" ht="15.75" thickBot="1" x14ac:dyDescent="0.3">
      <c r="B237" s="65" t="s">
        <v>59</v>
      </c>
      <c r="C237" s="161"/>
      <c r="D237" s="161">
        <v>390</v>
      </c>
      <c r="E237" s="161">
        <v>1740</v>
      </c>
      <c r="F237" s="161">
        <v>390</v>
      </c>
    </row>
    <row r="238" spans="2:12" ht="15.75" thickBot="1" x14ac:dyDescent="0.3">
      <c r="B238" s="66" t="s">
        <v>52</v>
      </c>
      <c r="C238" s="165">
        <f>C237+C236</f>
        <v>0</v>
      </c>
      <c r="D238" s="165">
        <f t="shared" ref="D238:F238" si="18">D237+D236</f>
        <v>390</v>
      </c>
      <c r="E238" s="165">
        <f t="shared" si="18"/>
        <v>1740</v>
      </c>
      <c r="F238" s="165">
        <f t="shared" si="18"/>
        <v>390</v>
      </c>
    </row>
    <row r="239" spans="2:12" ht="15.75" thickBot="1" x14ac:dyDescent="0.3">
      <c r="B239" s="65" t="s">
        <v>58</v>
      </c>
      <c r="C239" s="164"/>
      <c r="D239" s="164"/>
      <c r="E239" s="164"/>
      <c r="F239" s="164"/>
    </row>
    <row r="240" spans="2:12" ht="15.75" thickBot="1" x14ac:dyDescent="0.3">
      <c r="B240" s="65" t="s">
        <v>59</v>
      </c>
      <c r="C240" s="165"/>
      <c r="D240" s="161">
        <v>390</v>
      </c>
      <c r="E240" s="161">
        <v>1740</v>
      </c>
      <c r="F240" s="161">
        <v>390</v>
      </c>
    </row>
    <row r="241" spans="2:7" ht="15.75" thickBot="1" x14ac:dyDescent="0.3">
      <c r="B241" s="66" t="s">
        <v>52</v>
      </c>
      <c r="C241" s="165">
        <f>C240+C239</f>
        <v>0</v>
      </c>
      <c r="D241" s="165">
        <f t="shared" ref="D241:F241" si="19">D240+D239</f>
        <v>390</v>
      </c>
      <c r="E241" s="165">
        <f t="shared" si="19"/>
        <v>1740</v>
      </c>
      <c r="F241" s="165">
        <f t="shared" si="19"/>
        <v>390</v>
      </c>
    </row>
    <row r="242" spans="2:7" ht="15.75" thickBot="1" x14ac:dyDescent="0.3">
      <c r="B242" s="175"/>
      <c r="C242" s="176"/>
      <c r="D242" s="176"/>
      <c r="E242" s="176"/>
      <c r="F242" s="176"/>
    </row>
    <row r="243" spans="2:7" ht="35.25" customHeight="1" thickBot="1" x14ac:dyDescent="0.3">
      <c r="B243" s="158" t="s">
        <v>82</v>
      </c>
      <c r="C243" s="177">
        <f>C30+C53+C83+C106+C136+C159+C190+C211+C229</f>
        <v>571326</v>
      </c>
      <c r="D243" s="177">
        <f>D30+D53+D83+D106+D136+D159+D190+D211+D228</f>
        <v>527000</v>
      </c>
      <c r="E243" s="177">
        <f>E30+E53+E83+E106+E136+E159+E190+E211+E228</f>
        <v>557000</v>
      </c>
      <c r="F243" s="177">
        <f>F30+F53+F83+F106+F136+F159+F190+F211+F228</f>
        <v>562000</v>
      </c>
    </row>
    <row r="244" spans="2:7" ht="30.75" thickBot="1" x14ac:dyDescent="0.3">
      <c r="B244" s="158" t="s">
        <v>83</v>
      </c>
      <c r="C244" s="177">
        <f>C45+C68+C98+C121+C151+C174+C200+C221+C241</f>
        <v>571326</v>
      </c>
      <c r="D244" s="177">
        <f>D45+D68+D98+D121+D151+D174+D200+D221+D241</f>
        <v>527000</v>
      </c>
      <c r="E244" s="177">
        <f>E45+E68+E98+E121+E151+E174+E200+E221+E241</f>
        <v>557000</v>
      </c>
      <c r="F244" s="177">
        <f>F45+F68+F98+F121+F151+F174+F200+F221+F241</f>
        <v>562000</v>
      </c>
      <c r="G244" s="163"/>
    </row>
    <row r="245" spans="2:7" ht="30.75" thickBot="1" x14ac:dyDescent="0.3">
      <c r="B245" s="178" t="s">
        <v>84</v>
      </c>
      <c r="C245" s="179"/>
      <c r="D245" s="180">
        <f>D244/C244-1</f>
        <v>-7.7584426404539664E-2</v>
      </c>
      <c r="E245" s="180">
        <f t="shared" ref="E245:F245" si="20">E244/D244-1</f>
        <v>5.6925996204933549E-2</v>
      </c>
      <c r="F245" s="180">
        <f t="shared" si="20"/>
        <v>8.9766606822261341E-3</v>
      </c>
    </row>
    <row r="246" spans="2:7" ht="15.75" thickBot="1" x14ac:dyDescent="0.3">
      <c r="B246" s="65" t="s">
        <v>26</v>
      </c>
      <c r="C246" s="164">
        <f>C38+C61+C91+C114+C144+C167</f>
        <v>408981</v>
      </c>
      <c r="D246" s="164">
        <f>D38+D61+D91+D114+D144+D167</f>
        <v>384260</v>
      </c>
      <c r="E246" s="164">
        <f>E38+E61+E91+E114+E144+E167</f>
        <v>409602</v>
      </c>
      <c r="F246" s="164">
        <f>F38+F61+F91+F114+F144+F167</f>
        <v>408168</v>
      </c>
    </row>
    <row r="247" spans="2:7" ht="15.75" thickBot="1" x14ac:dyDescent="0.3">
      <c r="B247" s="181" t="s">
        <v>85</v>
      </c>
      <c r="C247" s="165"/>
      <c r="D247" s="182">
        <f>D246/C246-1</f>
        <v>-6.0445350762015848E-2</v>
      </c>
      <c r="E247" s="182">
        <f t="shared" ref="E247:F247" si="21">E246/D246-1</f>
        <v>6.5950137927444974E-2</v>
      </c>
      <c r="F247" s="182">
        <f t="shared" si="21"/>
        <v>-3.500959467971354E-3</v>
      </c>
    </row>
    <row r="248" spans="2:7" ht="15.75" thickBot="1" x14ac:dyDescent="0.3">
      <c r="B248" s="65" t="s">
        <v>28</v>
      </c>
      <c r="C248" s="164">
        <f>C39+C62+C92+C115+C145+C168</f>
        <v>67345</v>
      </c>
      <c r="D248" s="164">
        <f>D39+D62+D92+D115+D145+D168</f>
        <v>63446</v>
      </c>
      <c r="E248" s="164">
        <f>E39+E62+E92+E115+E145+E168</f>
        <v>67154</v>
      </c>
      <c r="F248" s="164">
        <f>F39+F62+F92+F115+F145+F168</f>
        <v>66888</v>
      </c>
    </row>
    <row r="249" spans="2:7" ht="30.75" thickBot="1" x14ac:dyDescent="0.3">
      <c r="B249" s="181" t="s">
        <v>86</v>
      </c>
      <c r="C249" s="165"/>
      <c r="D249" s="182">
        <f>D248/C248-1</f>
        <v>-5.7895909124656586E-2</v>
      </c>
      <c r="E249" s="182">
        <f t="shared" ref="E249:F249" si="22">E248/D248-1</f>
        <v>5.8443400687198555E-2</v>
      </c>
      <c r="F249" s="182">
        <f t="shared" si="22"/>
        <v>-3.9610447627840273E-3</v>
      </c>
    </row>
    <row r="250" spans="2:7" ht="15.75" thickBot="1" x14ac:dyDescent="0.3">
      <c r="B250" s="65" t="s">
        <v>30</v>
      </c>
      <c r="C250" s="164">
        <f>C40+C63+C93+C116+C146+C169</f>
        <v>86666</v>
      </c>
      <c r="D250" s="164">
        <f>D40+D63+D93+D116+D146+D169</f>
        <v>70720</v>
      </c>
      <c r="E250" s="164">
        <f>E40+E63+E93+E116+E146+E169</f>
        <v>71670</v>
      </c>
      <c r="F250" s="164">
        <f>F40+F63+F93+F116+F146+F169</f>
        <v>78370</v>
      </c>
    </row>
    <row r="251" spans="2:7" ht="15.75" thickBot="1" x14ac:dyDescent="0.3">
      <c r="B251" s="181" t="s">
        <v>87</v>
      </c>
      <c r="C251" s="164">
        <f>C41+C64+C94+C117+C147+C170</f>
        <v>0</v>
      </c>
      <c r="D251" s="182">
        <f>D250/C250-1</f>
        <v>-0.1839937230286387</v>
      </c>
      <c r="E251" s="182">
        <f t="shared" ref="E251:F251" si="23">E250/D250-1</f>
        <v>1.3433257918552099E-2</v>
      </c>
      <c r="F251" s="182">
        <f t="shared" si="23"/>
        <v>9.348402399888367E-2</v>
      </c>
    </row>
    <row r="252" spans="2:7" ht="15.75" thickBot="1" x14ac:dyDescent="0.3">
      <c r="B252" s="65" t="s">
        <v>32</v>
      </c>
      <c r="C252" s="164">
        <f>C41+C64+C94+C117+C147+C170</f>
        <v>0</v>
      </c>
      <c r="D252" s="164">
        <f>D41+D64+D94+D117+D147+D170</f>
        <v>0</v>
      </c>
      <c r="E252" s="164">
        <f>E41+E64+E94+E117+E147+E170</f>
        <v>0</v>
      </c>
      <c r="F252" s="164">
        <f>F41+F64+F94+F117+F147+F170</f>
        <v>0</v>
      </c>
    </row>
    <row r="253" spans="2:7" ht="15.75" thickBot="1" x14ac:dyDescent="0.3">
      <c r="B253" s="181" t="s">
        <v>88</v>
      </c>
      <c r="C253" s="165"/>
      <c r="D253" s="182" t="e">
        <f>D252/C252-1</f>
        <v>#DIV/0!</v>
      </c>
      <c r="E253" s="182" t="e">
        <f t="shared" ref="E253:F253" si="24">E252/D252-1</f>
        <v>#DIV/0!</v>
      </c>
      <c r="F253" s="182" t="e">
        <f t="shared" si="24"/>
        <v>#DIV/0!</v>
      </c>
    </row>
    <row r="254" spans="2:7" ht="15.75" thickBot="1" x14ac:dyDescent="0.3">
      <c r="B254" s="65" t="s">
        <v>34</v>
      </c>
      <c r="C254" s="164">
        <f>C42+C65+C95+C118+C148+C171</f>
        <v>1334</v>
      </c>
      <c r="D254" s="164">
        <f>D42+D65+D95+D118+D148+D171</f>
        <v>1574</v>
      </c>
      <c r="E254" s="164">
        <f>E42+E65+E95+E118+E148+E171</f>
        <v>1574</v>
      </c>
      <c r="F254" s="164">
        <f>F42+F65+F95+F118+F148+F171</f>
        <v>1574</v>
      </c>
    </row>
    <row r="255" spans="2:7" ht="15.75" thickBot="1" x14ac:dyDescent="0.3">
      <c r="B255" s="181" t="s">
        <v>89</v>
      </c>
      <c r="C255" s="165"/>
      <c r="D255" s="182">
        <f>D254/C254-1</f>
        <v>0.17991004497751129</v>
      </c>
      <c r="E255" s="182">
        <f t="shared" ref="E255:F255" si="25">E254/D254-1</f>
        <v>0</v>
      </c>
      <c r="F255" s="182">
        <f t="shared" si="25"/>
        <v>0</v>
      </c>
    </row>
    <row r="256" spans="2:7" ht="15.75" thickBot="1" x14ac:dyDescent="0.3">
      <c r="B256" s="65" t="s">
        <v>36</v>
      </c>
      <c r="C256" s="164">
        <f>C43+C66+C96+C120+C150+C172</f>
        <v>0</v>
      </c>
      <c r="D256" s="164">
        <f>D43+D66+D96+D120+D150+D172</f>
        <v>0</v>
      </c>
      <c r="E256" s="164">
        <f>E43+E66+E96+E120+E150+E172</f>
        <v>0</v>
      </c>
      <c r="F256" s="164">
        <f>F43+F66+F96+F120+F150+F172</f>
        <v>0</v>
      </c>
    </row>
    <row r="257" spans="2:6" ht="15.75" thickBot="1" x14ac:dyDescent="0.3">
      <c r="B257" s="181" t="s">
        <v>90</v>
      </c>
      <c r="C257" s="165"/>
      <c r="D257" s="182" t="e">
        <f>D256/C256-1</f>
        <v>#DIV/0!</v>
      </c>
      <c r="E257" s="182" t="e">
        <f t="shared" ref="E257:F257" si="26">E256/D256-1</f>
        <v>#DIV/0!</v>
      </c>
      <c r="F257" s="182" t="e">
        <f t="shared" si="26"/>
        <v>#DIV/0!</v>
      </c>
    </row>
    <row r="258" spans="2:6" ht="15.75" thickBot="1" x14ac:dyDescent="0.3">
      <c r="B258" s="65" t="s">
        <v>38</v>
      </c>
      <c r="C258" s="164">
        <f>C44+C67+C97+C120+C150+C173</f>
        <v>0</v>
      </c>
      <c r="D258" s="164">
        <f>D44+D67+D97+D120+D150+D173</f>
        <v>0</v>
      </c>
      <c r="E258" s="164">
        <f>E44+E67+E97+E120+E150+E173</f>
        <v>0</v>
      </c>
      <c r="F258" s="164">
        <f>F44+F67+F97+F120+F150+F173</f>
        <v>0</v>
      </c>
    </row>
    <row r="259" spans="2:6" ht="30.75" thickBot="1" x14ac:dyDescent="0.3">
      <c r="B259" s="181" t="s">
        <v>91</v>
      </c>
      <c r="C259" s="165"/>
      <c r="D259" s="182" t="e">
        <f>D258/C258-1</f>
        <v>#DIV/0!</v>
      </c>
      <c r="E259" s="182" t="e">
        <f t="shared" ref="E259:F259" si="27">E258/D258-1</f>
        <v>#DIV/0!</v>
      </c>
      <c r="F259" s="182" t="e">
        <f t="shared" si="27"/>
        <v>#DIV/0!</v>
      </c>
    </row>
    <row r="260" spans="2:6" ht="15.75" thickBot="1" x14ac:dyDescent="0.3">
      <c r="B260" s="65" t="s">
        <v>92</v>
      </c>
      <c r="C260" s="164"/>
      <c r="D260" s="164">
        <f>D198+D219+D239</f>
        <v>0</v>
      </c>
      <c r="E260" s="164">
        <f>E198+E219+E239</f>
        <v>0</v>
      </c>
      <c r="F260" s="164">
        <f>F198+F219+F239</f>
        <v>0</v>
      </c>
    </row>
    <row r="261" spans="2:6" ht="15.75" thickBot="1" x14ac:dyDescent="0.3">
      <c r="B261" s="181" t="s">
        <v>93</v>
      </c>
      <c r="C261" s="165"/>
      <c r="D261" s="182" t="e">
        <f>D260/C260-1</f>
        <v>#DIV/0!</v>
      </c>
      <c r="E261" s="182" t="e">
        <f t="shared" ref="E261:F261" si="28">E260/D260-1</f>
        <v>#DIV/0!</v>
      </c>
      <c r="F261" s="182" t="e">
        <f t="shared" si="28"/>
        <v>#DIV/0!</v>
      </c>
    </row>
    <row r="262" spans="2:6" ht="15.75" thickBot="1" x14ac:dyDescent="0.3">
      <c r="B262" s="65" t="s">
        <v>94</v>
      </c>
      <c r="C262" s="164">
        <f>C200+C221+C240</f>
        <v>7000</v>
      </c>
      <c r="D262" s="164">
        <f>D200+D221+D240</f>
        <v>7000</v>
      </c>
      <c r="E262" s="164">
        <f>E200+E221+E240</f>
        <v>7000</v>
      </c>
      <c r="F262" s="164">
        <f>F200+F221+F240</f>
        <v>7000</v>
      </c>
    </row>
    <row r="263" spans="2:6" ht="15.75" thickBot="1" x14ac:dyDescent="0.3">
      <c r="B263" s="181" t="s">
        <v>95</v>
      </c>
      <c r="C263" s="165"/>
      <c r="D263" s="182">
        <f>D262/C262-1</f>
        <v>0</v>
      </c>
      <c r="E263" s="182">
        <f t="shared" ref="E263:F263" si="29">E262/D262-1</f>
        <v>0</v>
      </c>
      <c r="F263" s="182">
        <f t="shared" si="29"/>
        <v>0</v>
      </c>
    </row>
    <row r="264" spans="2:6" ht="15.75" thickBot="1" x14ac:dyDescent="0.3">
      <c r="B264" s="166" t="s">
        <v>41</v>
      </c>
      <c r="C264" s="167">
        <f>IF(C244-C243=0,0,"Error")</f>
        <v>0</v>
      </c>
      <c r="D264" s="167">
        <f t="shared" ref="D264:F264" si="30">IF(D244-D243=0,0,"Error")</f>
        <v>0</v>
      </c>
      <c r="E264" s="167">
        <f t="shared" si="30"/>
        <v>0</v>
      </c>
      <c r="F264" s="167">
        <f t="shared" si="30"/>
        <v>0</v>
      </c>
    </row>
    <row r="265" spans="2:6" ht="30.75" thickBot="1" x14ac:dyDescent="0.3">
      <c r="B265" s="183" t="s">
        <v>96</v>
      </c>
      <c r="C265" s="164">
        <v>226</v>
      </c>
      <c r="D265" s="164">
        <v>226</v>
      </c>
      <c r="E265" s="164">
        <v>226</v>
      </c>
      <c r="F265" s="164">
        <v>226</v>
      </c>
    </row>
    <row r="266" spans="2:6" ht="30.75" thickBot="1" x14ac:dyDescent="0.3">
      <c r="B266" s="183" t="s">
        <v>97</v>
      </c>
      <c r="C266" s="164" t="s">
        <v>23</v>
      </c>
      <c r="D266" s="164" t="s">
        <v>23</v>
      </c>
      <c r="E266" s="164" t="s">
        <v>23</v>
      </c>
      <c r="F266" s="164" t="s">
        <v>23</v>
      </c>
    </row>
    <row r="267" spans="2:6" x14ac:dyDescent="0.25">
      <c r="B267" s="184"/>
      <c r="C267" s="185"/>
      <c r="D267" s="185"/>
      <c r="E267" s="185"/>
      <c r="F267" s="185"/>
    </row>
  </sheetData>
  <mergeCells count="84">
    <mergeCell ref="C17:F17"/>
    <mergeCell ref="B2:F2"/>
    <mergeCell ref="C4:F4"/>
    <mergeCell ref="C5:F5"/>
    <mergeCell ref="C6:F6"/>
    <mergeCell ref="B7:F7"/>
    <mergeCell ref="B8:F8"/>
    <mergeCell ref="B9:F9"/>
    <mergeCell ref="B10:F10"/>
    <mergeCell ref="C11:F11"/>
    <mergeCell ref="B12:B13"/>
    <mergeCell ref="C49:F49"/>
    <mergeCell ref="B18:F18"/>
    <mergeCell ref="B22:F22"/>
    <mergeCell ref="B23:F23"/>
    <mergeCell ref="C24:F24"/>
    <mergeCell ref="C25:F25"/>
    <mergeCell ref="C26:F26"/>
    <mergeCell ref="B27:B28"/>
    <mergeCell ref="B35:F35"/>
    <mergeCell ref="B36:B37"/>
    <mergeCell ref="C47:F47"/>
    <mergeCell ref="C48:F48"/>
    <mergeCell ref="B88:F88"/>
    <mergeCell ref="B50:B51"/>
    <mergeCell ref="B58:F58"/>
    <mergeCell ref="B59:B60"/>
    <mergeCell ref="C70:F70"/>
    <mergeCell ref="B71:F71"/>
    <mergeCell ref="B75:F75"/>
    <mergeCell ref="B76:F76"/>
    <mergeCell ref="C77:F77"/>
    <mergeCell ref="C78:F78"/>
    <mergeCell ref="C79:F79"/>
    <mergeCell ref="B80:B81"/>
    <mergeCell ref="C130:F130"/>
    <mergeCell ref="B89:B90"/>
    <mergeCell ref="C100:F100"/>
    <mergeCell ref="C101:F101"/>
    <mergeCell ref="C102:F102"/>
    <mergeCell ref="B103:B104"/>
    <mergeCell ref="B111:F111"/>
    <mergeCell ref="B112:B113"/>
    <mergeCell ref="C123:F123"/>
    <mergeCell ref="B124:F124"/>
    <mergeCell ref="B128:F128"/>
    <mergeCell ref="B129:F129"/>
    <mergeCell ref="C176:F176"/>
    <mergeCell ref="C131:F131"/>
    <mergeCell ref="C132:F132"/>
    <mergeCell ref="B133:B134"/>
    <mergeCell ref="B141:F141"/>
    <mergeCell ref="B142:B143"/>
    <mergeCell ref="C153:F153"/>
    <mergeCell ref="C154:F154"/>
    <mergeCell ref="C155:F155"/>
    <mergeCell ref="B156:B157"/>
    <mergeCell ref="B164:F164"/>
    <mergeCell ref="B165:B166"/>
    <mergeCell ref="B201:B203"/>
    <mergeCell ref="C201:F203"/>
    <mergeCell ref="B177:F177"/>
    <mergeCell ref="B180:F180"/>
    <mergeCell ref="B181:F181"/>
    <mergeCell ref="B182:F182"/>
    <mergeCell ref="C183:F183"/>
    <mergeCell ref="C184:F184"/>
    <mergeCell ref="C185:F185"/>
    <mergeCell ref="C186:F186"/>
    <mergeCell ref="B187:B188"/>
    <mergeCell ref="B195:F195"/>
    <mergeCell ref="B196:B197"/>
    <mergeCell ref="B234:B235"/>
    <mergeCell ref="C204:F204"/>
    <mergeCell ref="C205:F205"/>
    <mergeCell ref="C206:F206"/>
    <mergeCell ref="C207:F207"/>
    <mergeCell ref="B208:B209"/>
    <mergeCell ref="B216:F216"/>
    <mergeCell ref="B217:B218"/>
    <mergeCell ref="C222:F222"/>
    <mergeCell ref="C224:F224"/>
    <mergeCell ref="B225:B226"/>
    <mergeCell ref="B233:F233"/>
  </mergeCells>
  <printOptions horizontalCentered="1" verticalCentered="1"/>
  <pageMargins left="0.25" right="0.2" top="0.25" bottom="0.25" header="0" footer="0.8"/>
  <pageSetup paperSize="9" scale="57" orientation="portrait" r:id="rId1"/>
  <rowBreaks count="2" manualBreakCount="2">
    <brk id="180" max="16383" man="1"/>
    <brk id="2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608"/>
  <sheetViews>
    <sheetView topLeftCell="A428" zoomScale="110" zoomScaleNormal="110" workbookViewId="0">
      <selection activeCell="F30" sqref="F30"/>
    </sheetView>
  </sheetViews>
  <sheetFormatPr defaultRowHeight="15" x14ac:dyDescent="0.25"/>
  <cols>
    <col min="1" max="1" width="9.140625" style="152"/>
    <col min="2" max="2" width="23.85546875" style="152" customWidth="1"/>
    <col min="3" max="3" width="15.42578125" style="152" customWidth="1"/>
    <col min="4" max="4" width="14" style="152" customWidth="1"/>
    <col min="5" max="5" width="16.28515625" style="152" customWidth="1"/>
    <col min="6" max="6" width="19.42578125" style="152" customWidth="1"/>
    <col min="7" max="16384" width="9.140625" style="152"/>
  </cols>
  <sheetData>
    <row r="2" spans="2:7" x14ac:dyDescent="0.25">
      <c r="B2" s="1" t="s">
        <v>113</v>
      </c>
      <c r="C2" s="1"/>
      <c r="D2" s="1"/>
      <c r="E2" s="1"/>
      <c r="F2" s="1"/>
      <c r="G2" s="1"/>
    </row>
    <row r="3" spans="2:7" ht="15.75" thickBot="1" x14ac:dyDescent="0.3"/>
    <row r="4" spans="2:7" ht="30.75" thickBot="1" x14ac:dyDescent="0.3">
      <c r="B4" s="153" t="s">
        <v>2</v>
      </c>
      <c r="C4" s="979" t="s">
        <v>270</v>
      </c>
      <c r="D4" s="979"/>
      <c r="E4" s="979"/>
      <c r="F4" s="979"/>
    </row>
    <row r="5" spans="2:7" ht="15.75" thickBot="1" x14ac:dyDescent="0.3">
      <c r="B5" s="153" t="s">
        <v>3</v>
      </c>
      <c r="C5" s="1048" t="s">
        <v>271</v>
      </c>
      <c r="D5" s="981"/>
      <c r="E5" s="981"/>
      <c r="F5" s="982"/>
    </row>
    <row r="6" spans="2:7" ht="30.75" thickBot="1" x14ac:dyDescent="0.3">
      <c r="B6" s="153" t="s">
        <v>5</v>
      </c>
      <c r="C6" s="983" t="s">
        <v>6</v>
      </c>
      <c r="D6" s="984"/>
      <c r="E6" s="984"/>
      <c r="F6" s="985"/>
    </row>
    <row r="7" spans="2:7" x14ac:dyDescent="0.25">
      <c r="B7" s="1270" t="s">
        <v>7</v>
      </c>
      <c r="C7" s="1271"/>
      <c r="D7" s="1271"/>
      <c r="E7" s="1271"/>
      <c r="F7" s="1272"/>
    </row>
    <row r="8" spans="2:7" x14ac:dyDescent="0.25">
      <c r="B8" s="1262" t="s">
        <v>272</v>
      </c>
      <c r="C8" s="1263"/>
      <c r="D8" s="1263"/>
      <c r="E8" s="1263"/>
      <c r="F8" s="1264"/>
    </row>
    <row r="9" spans="2:7" x14ac:dyDescent="0.25">
      <c r="B9" s="1265"/>
      <c r="C9" s="1108"/>
      <c r="D9" s="1108"/>
      <c r="E9" s="1108"/>
      <c r="F9" s="1266"/>
    </row>
    <row r="10" spans="2:7" ht="30" customHeight="1" x14ac:dyDescent="0.25">
      <c r="B10" s="1267"/>
      <c r="C10" s="1268"/>
      <c r="D10" s="1268"/>
      <c r="E10" s="1268"/>
      <c r="F10" s="1269"/>
    </row>
    <row r="11" spans="2:7" ht="82.5" customHeight="1" thickBot="1" x14ac:dyDescent="0.3">
      <c r="B11" s="209" t="s">
        <v>8</v>
      </c>
      <c r="C11" s="1256" t="s">
        <v>273</v>
      </c>
      <c r="D11" s="1257"/>
      <c r="E11" s="1257"/>
      <c r="F11" s="1258"/>
    </row>
    <row r="12" spans="2:7" x14ac:dyDescent="0.25">
      <c r="B12" s="1067" t="s">
        <v>9</v>
      </c>
      <c r="C12" s="155">
        <v>2018</v>
      </c>
      <c r="D12" s="155">
        <v>2019</v>
      </c>
      <c r="E12" s="155">
        <v>2020</v>
      </c>
      <c r="F12" s="155">
        <v>2021</v>
      </c>
    </row>
    <row r="13" spans="2:7" ht="15.75" thickBot="1" x14ac:dyDescent="0.3">
      <c r="B13" s="1068"/>
      <c r="C13" s="156" t="s">
        <v>10</v>
      </c>
      <c r="D13" s="156" t="s">
        <v>11</v>
      </c>
      <c r="E13" s="156" t="s">
        <v>11</v>
      </c>
      <c r="F13" s="156" t="s">
        <v>11</v>
      </c>
    </row>
    <row r="14" spans="2:7" ht="68.25" customHeight="1" thickBot="1" x14ac:dyDescent="0.3">
      <c r="B14" s="645" t="s">
        <v>274</v>
      </c>
      <c r="C14" s="210">
        <v>3.7400000000000003E-2</v>
      </c>
      <c r="D14" s="210">
        <v>5.2999999999999999E-2</v>
      </c>
      <c r="E14" s="210">
        <v>4.4319999999999998E-2</v>
      </c>
      <c r="F14" s="210">
        <v>4.41E-2</v>
      </c>
    </row>
    <row r="15" spans="2:7" ht="105.75" thickBot="1" x14ac:dyDescent="0.3">
      <c r="B15" s="645" t="s">
        <v>275</v>
      </c>
      <c r="C15" s="211" t="s">
        <v>276</v>
      </c>
      <c r="D15" s="211" t="s">
        <v>277</v>
      </c>
      <c r="E15" s="211" t="s">
        <v>278</v>
      </c>
      <c r="F15" s="211" t="s">
        <v>279</v>
      </c>
    </row>
    <row r="16" spans="2:7" ht="105.75" thickBot="1" x14ac:dyDescent="0.3">
      <c r="B16" s="645" t="s">
        <v>280</v>
      </c>
      <c r="C16" s="211" t="s">
        <v>281</v>
      </c>
      <c r="D16" s="211" t="s">
        <v>282</v>
      </c>
      <c r="E16" s="211" t="s">
        <v>283</v>
      </c>
      <c r="F16" s="211" t="s">
        <v>284</v>
      </c>
    </row>
    <row r="17" spans="2:11" ht="45.75" thickBot="1" x14ac:dyDescent="0.3">
      <c r="B17" s="645" t="s">
        <v>285</v>
      </c>
      <c r="C17" s="211" t="s">
        <v>286</v>
      </c>
      <c r="D17" s="211" t="s">
        <v>287</v>
      </c>
      <c r="E17" s="211" t="s">
        <v>288</v>
      </c>
      <c r="F17" s="211" t="s">
        <v>289</v>
      </c>
    </row>
    <row r="18" spans="2:11" ht="56.25" customHeight="1" thickBot="1" x14ac:dyDescent="0.3">
      <c r="B18" s="158" t="s">
        <v>12</v>
      </c>
      <c r="C18" s="1238" t="s">
        <v>290</v>
      </c>
      <c r="D18" s="1239"/>
      <c r="E18" s="1239"/>
      <c r="F18" s="1240"/>
    </row>
    <row r="19" spans="2:11" ht="30" customHeight="1" thickBot="1" x14ac:dyDescent="0.3">
      <c r="B19" s="1250" t="s">
        <v>274</v>
      </c>
      <c r="C19" s="1251"/>
      <c r="D19" s="1251"/>
      <c r="E19" s="1251"/>
      <c r="F19" s="1252"/>
    </row>
    <row r="20" spans="2:11" ht="90.75" thickBot="1" x14ac:dyDescent="0.3">
      <c r="B20" s="645" t="s">
        <v>291</v>
      </c>
      <c r="C20" s="211" t="s">
        <v>292</v>
      </c>
      <c r="D20" s="211" t="s">
        <v>293</v>
      </c>
      <c r="E20" s="211" t="s">
        <v>294</v>
      </c>
      <c r="F20" s="211" t="s">
        <v>294</v>
      </c>
    </row>
    <row r="21" spans="2:11" ht="45.75" thickBot="1" x14ac:dyDescent="0.3">
      <c r="B21" s="645" t="s">
        <v>295</v>
      </c>
      <c r="C21" s="211" t="s">
        <v>296</v>
      </c>
      <c r="D21" s="211" t="s">
        <v>297</v>
      </c>
      <c r="E21" s="211" t="s">
        <v>298</v>
      </c>
      <c r="F21" s="211" t="s">
        <v>298</v>
      </c>
    </row>
    <row r="22" spans="2:11" ht="15.75" thickBot="1" x14ac:dyDescent="0.3">
      <c r="B22" s="989" t="s">
        <v>14</v>
      </c>
      <c r="C22" s="990"/>
      <c r="D22" s="990"/>
      <c r="E22" s="990"/>
      <c r="F22" s="991"/>
    </row>
    <row r="23" spans="2:11" ht="15.75" thickBot="1" x14ac:dyDescent="0.3">
      <c r="B23" s="989" t="s">
        <v>15</v>
      </c>
      <c r="C23" s="990"/>
      <c r="D23" s="990"/>
      <c r="E23" s="990"/>
      <c r="F23" s="991"/>
    </row>
    <row r="24" spans="2:11" ht="15.75" thickBot="1" x14ac:dyDescent="0.3">
      <c r="B24" s="160" t="s">
        <v>16</v>
      </c>
      <c r="C24" s="1238" t="s">
        <v>299</v>
      </c>
      <c r="D24" s="1239"/>
      <c r="E24" s="1239"/>
      <c r="F24" s="1240"/>
    </row>
    <row r="25" spans="2:11" ht="15.75" customHeight="1" thickBot="1" x14ac:dyDescent="0.3">
      <c r="B25" s="62" t="s">
        <v>17</v>
      </c>
      <c r="C25" s="1238" t="s">
        <v>299</v>
      </c>
      <c r="D25" s="1239"/>
      <c r="E25" s="1239"/>
      <c r="F25" s="1240"/>
    </row>
    <row r="26" spans="2:11" ht="15.75" thickBot="1" x14ac:dyDescent="0.3">
      <c r="B26" s="62" t="s">
        <v>18</v>
      </c>
      <c r="C26" s="995" t="s">
        <v>300</v>
      </c>
      <c r="D26" s="996"/>
      <c r="E26" s="996"/>
      <c r="F26" s="997"/>
    </row>
    <row r="27" spans="2:11" x14ac:dyDescent="0.25">
      <c r="B27" s="998"/>
      <c r="C27" s="63">
        <v>2018</v>
      </c>
      <c r="D27" s="63">
        <v>2019</v>
      </c>
      <c r="E27" s="63">
        <v>2020</v>
      </c>
      <c r="F27" s="63">
        <v>2021</v>
      </c>
    </row>
    <row r="28" spans="2:11" ht="15.75" thickBot="1" x14ac:dyDescent="0.3">
      <c r="B28" s="999"/>
      <c r="C28" s="64" t="s">
        <v>10</v>
      </c>
      <c r="D28" s="64" t="s">
        <v>11</v>
      </c>
      <c r="E28" s="64" t="s">
        <v>11</v>
      </c>
      <c r="F28" s="64" t="s">
        <v>11</v>
      </c>
    </row>
    <row r="29" spans="2:11" ht="15.75" thickBot="1" x14ac:dyDescent="0.3">
      <c r="B29" s="62" t="s">
        <v>19</v>
      </c>
      <c r="C29" s="161">
        <v>35</v>
      </c>
      <c r="D29" s="161">
        <v>50</v>
      </c>
      <c r="E29" s="161">
        <v>50</v>
      </c>
      <c r="F29" s="161">
        <v>50</v>
      </c>
      <c r="K29" s="738">
        <v>1000</v>
      </c>
    </row>
    <row r="30" spans="2:11" ht="15.75" thickBot="1" x14ac:dyDescent="0.3">
      <c r="B30" s="62" t="s">
        <v>20</v>
      </c>
      <c r="C30" s="161">
        <v>2125</v>
      </c>
      <c r="D30" s="161">
        <v>3672.5</v>
      </c>
      <c r="E30" s="161">
        <v>3672.5</v>
      </c>
      <c r="F30" s="161">
        <v>3672.5</v>
      </c>
    </row>
    <row r="31" spans="2:11" ht="30.75" thickBot="1" x14ac:dyDescent="0.3">
      <c r="B31" s="62" t="s">
        <v>21</v>
      </c>
      <c r="C31" s="161">
        <f>C30/C29</f>
        <v>60.714285714285715</v>
      </c>
      <c r="D31" s="161">
        <f t="shared" ref="D31:F31" si="0">D30/D29</f>
        <v>73.45</v>
      </c>
      <c r="E31" s="161">
        <f t="shared" si="0"/>
        <v>73.45</v>
      </c>
      <c r="F31" s="161">
        <f t="shared" si="0"/>
        <v>73.45</v>
      </c>
    </row>
    <row r="32" spans="2:11" ht="15.75" thickBot="1" x14ac:dyDescent="0.3">
      <c r="B32" s="62" t="s">
        <v>22</v>
      </c>
      <c r="C32" s="145" t="s">
        <v>23</v>
      </c>
      <c r="D32" s="162">
        <f>D29/C29-1</f>
        <v>0.4285714285714286</v>
      </c>
      <c r="E32" s="162">
        <f t="shared" ref="E32:F34" si="1">E29/D29-1</f>
        <v>0</v>
      </c>
      <c r="F32" s="162">
        <f t="shared" si="1"/>
        <v>0</v>
      </c>
    </row>
    <row r="33" spans="2:6" ht="30.75" thickBot="1" x14ac:dyDescent="0.3">
      <c r="B33" s="62" t="s">
        <v>24</v>
      </c>
      <c r="C33" s="145" t="s">
        <v>23</v>
      </c>
      <c r="D33" s="162">
        <f>D30/C30-1</f>
        <v>0.72823529411764709</v>
      </c>
      <c r="E33" s="162">
        <f t="shared" si="1"/>
        <v>0</v>
      </c>
      <c r="F33" s="162">
        <f t="shared" si="1"/>
        <v>0</v>
      </c>
    </row>
    <row r="34" spans="2:6" ht="30.75" thickBot="1" x14ac:dyDescent="0.3">
      <c r="B34" s="62" t="s">
        <v>25</v>
      </c>
      <c r="C34" s="145" t="s">
        <v>23</v>
      </c>
      <c r="D34" s="162">
        <f>D31/C31-1</f>
        <v>0.20976470588235308</v>
      </c>
      <c r="E34" s="162">
        <f t="shared" si="1"/>
        <v>0</v>
      </c>
      <c r="F34" s="162">
        <f t="shared" si="1"/>
        <v>0</v>
      </c>
    </row>
    <row r="35" spans="2:6" ht="15.75" thickBot="1" x14ac:dyDescent="0.3">
      <c r="B35" s="1000" t="s">
        <v>784</v>
      </c>
      <c r="C35" s="1001"/>
      <c r="D35" s="1001"/>
      <c r="E35" s="1001"/>
      <c r="F35" s="1002"/>
    </row>
    <row r="36" spans="2:6"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28.5" customHeight="1" thickBot="1" x14ac:dyDescent="0.3">
      <c r="B38" s="65" t="s">
        <v>26</v>
      </c>
      <c r="C38" s="164">
        <v>0</v>
      </c>
      <c r="D38" s="164">
        <v>1930</v>
      </c>
      <c r="E38" s="164">
        <v>1930</v>
      </c>
      <c r="F38" s="164">
        <v>1930</v>
      </c>
    </row>
    <row r="39" spans="2:6" ht="25.5" customHeight="1" thickBot="1" x14ac:dyDescent="0.3">
      <c r="B39" s="65" t="s">
        <v>28</v>
      </c>
      <c r="C39" s="164">
        <v>0</v>
      </c>
      <c r="D39" s="164">
        <v>285</v>
      </c>
      <c r="E39" s="164">
        <v>285</v>
      </c>
      <c r="F39" s="164">
        <v>285</v>
      </c>
    </row>
    <row r="40" spans="2:6" ht="30.75" thickBot="1" x14ac:dyDescent="0.3">
      <c r="B40" s="65" t="s">
        <v>30</v>
      </c>
      <c r="C40" s="165">
        <f>(150000+950000+150000+875000)/1000</f>
        <v>2125</v>
      </c>
      <c r="D40" s="164">
        <f>(770000+343750+343750)/1000</f>
        <v>1457.5</v>
      </c>
      <c r="E40" s="164">
        <f>(770000+343750+343750)/1000</f>
        <v>1457.5</v>
      </c>
      <c r="F40" s="164">
        <f>(770000+343750+343750)/1000</f>
        <v>1457.5</v>
      </c>
    </row>
    <row r="41" spans="2:6" ht="15.75" thickBot="1" x14ac:dyDescent="0.3">
      <c r="B41" s="65" t="s">
        <v>32</v>
      </c>
      <c r="C41" s="165"/>
      <c r="D41" s="164"/>
      <c r="E41" s="164"/>
      <c r="F41" s="164"/>
    </row>
    <row r="42" spans="2:6" ht="30.75" thickBot="1" x14ac:dyDescent="0.3">
      <c r="B42" s="65" t="s">
        <v>34</v>
      </c>
      <c r="C42" s="165"/>
      <c r="D42" s="164"/>
      <c r="E42" s="164"/>
      <c r="F42" s="164"/>
    </row>
    <row r="43" spans="2:6" ht="15.75" thickBot="1" x14ac:dyDescent="0.3">
      <c r="B43" s="65" t="s">
        <v>36</v>
      </c>
      <c r="C43" s="165"/>
      <c r="D43" s="164"/>
      <c r="E43" s="164"/>
      <c r="F43" s="164"/>
    </row>
    <row r="44" spans="2:6" ht="30.75" thickBot="1" x14ac:dyDescent="0.3">
      <c r="B44" s="65" t="s">
        <v>38</v>
      </c>
      <c r="C44" s="165"/>
      <c r="D44" s="164"/>
      <c r="E44" s="164"/>
      <c r="F44" s="164"/>
    </row>
    <row r="45" spans="2:6" ht="30.75" thickBot="1" x14ac:dyDescent="0.3">
      <c r="B45" s="66" t="s">
        <v>40</v>
      </c>
      <c r="C45" s="165">
        <f>C44+C43+C42+C41+C40+C39+C38</f>
        <v>2125</v>
      </c>
      <c r="D45" s="165">
        <f>D44+D43+D42+D41+D40+D39+D38</f>
        <v>3672.5</v>
      </c>
      <c r="E45" s="165">
        <f>E44+E43+E42+E41+E40+E39+E38</f>
        <v>3672.5</v>
      </c>
      <c r="F45" s="165">
        <f>F44+F43+F42+F41+F40+F39+F38</f>
        <v>3672.5</v>
      </c>
    </row>
    <row r="46" spans="2:6" x14ac:dyDescent="0.25">
      <c r="B46" s="1015" t="s">
        <v>785</v>
      </c>
      <c r="C46" s="1036"/>
      <c r="D46" s="1037"/>
      <c r="E46" s="1037"/>
      <c r="F46" s="1038"/>
    </row>
    <row r="47" spans="2:6" x14ac:dyDescent="0.25">
      <c r="B47" s="1016"/>
      <c r="C47" s="1039"/>
      <c r="D47" s="1040"/>
      <c r="E47" s="1040"/>
      <c r="F47" s="1041"/>
    </row>
    <row r="48" spans="2:6" ht="15.75" thickBot="1" x14ac:dyDescent="0.3">
      <c r="B48" s="1017"/>
      <c r="C48" s="1042"/>
      <c r="D48" s="1043"/>
      <c r="E48" s="1043"/>
      <c r="F48" s="1044"/>
    </row>
    <row r="49" spans="2:6" ht="15.75" thickBot="1" x14ac:dyDescent="0.3">
      <c r="B49" s="166" t="s">
        <v>41</v>
      </c>
      <c r="C49" s="212">
        <f>IF(C45-C30=0,0,"Error")</f>
        <v>0</v>
      </c>
      <c r="D49" s="212">
        <f>IF(D45-D30=0,0,"Error")</f>
        <v>0</v>
      </c>
      <c r="E49" s="212">
        <f>IF(E45-E30=0,0,"Error")</f>
        <v>0</v>
      </c>
      <c r="F49" s="212">
        <f>IF(F45-F30=0,0,"Error")</f>
        <v>0</v>
      </c>
    </row>
    <row r="50" spans="2:6" ht="15.75" customHeight="1" thickBot="1" x14ac:dyDescent="0.3">
      <c r="B50" s="160" t="s">
        <v>42</v>
      </c>
      <c r="C50" s="1238" t="s">
        <v>301</v>
      </c>
      <c r="D50" s="1239"/>
      <c r="E50" s="1239"/>
      <c r="F50" s="1240"/>
    </row>
    <row r="51" spans="2:6" ht="15.75" thickBot="1" x14ac:dyDescent="0.3">
      <c r="B51" s="62" t="s">
        <v>17</v>
      </c>
      <c r="C51" s="1238" t="s">
        <v>301</v>
      </c>
      <c r="D51" s="1239"/>
      <c r="E51" s="1239"/>
      <c r="F51" s="1240"/>
    </row>
    <row r="52" spans="2:6" ht="15.75" thickBot="1" x14ac:dyDescent="0.3">
      <c r="B52" s="62" t="s">
        <v>18</v>
      </c>
      <c r="C52" s="995" t="s">
        <v>302</v>
      </c>
      <c r="D52" s="996"/>
      <c r="E52" s="996"/>
      <c r="F52" s="997"/>
    </row>
    <row r="53" spans="2:6" ht="15.75" thickBot="1" x14ac:dyDescent="0.3">
      <c r="B53" s="62" t="s">
        <v>19</v>
      </c>
      <c r="C53" s="161">
        <v>10</v>
      </c>
      <c r="D53" s="161">
        <v>20</v>
      </c>
      <c r="E53" s="161">
        <v>16</v>
      </c>
      <c r="F53" s="161">
        <v>16</v>
      </c>
    </row>
    <row r="54" spans="2:6" x14ac:dyDescent="0.25">
      <c r="B54" s="998"/>
      <c r="C54" s="63">
        <v>2018</v>
      </c>
      <c r="D54" s="63">
        <v>2019</v>
      </c>
      <c r="E54" s="63">
        <v>2020</v>
      </c>
      <c r="F54" s="63">
        <v>2021</v>
      </c>
    </row>
    <row r="55" spans="2:6" ht="15.75" thickBot="1" x14ac:dyDescent="0.3">
      <c r="B55" s="999"/>
      <c r="C55" s="64" t="s">
        <v>10</v>
      </c>
      <c r="D55" s="64" t="s">
        <v>11</v>
      </c>
      <c r="E55" s="64" t="s">
        <v>11</v>
      </c>
      <c r="F55" s="64" t="s">
        <v>11</v>
      </c>
    </row>
    <row r="56" spans="2:6" ht="15.75" thickBot="1" x14ac:dyDescent="0.3">
      <c r="B56" s="62" t="s">
        <v>20</v>
      </c>
      <c r="C56" s="161">
        <v>400</v>
      </c>
      <c r="D56" s="161">
        <v>2740</v>
      </c>
      <c r="E56" s="161">
        <v>2215</v>
      </c>
      <c r="F56" s="161">
        <v>2215</v>
      </c>
    </row>
    <row r="57" spans="2:6" ht="30.75" thickBot="1" x14ac:dyDescent="0.3">
      <c r="B57" s="62" t="s">
        <v>21</v>
      </c>
      <c r="C57" s="161">
        <f>C56/C53</f>
        <v>40</v>
      </c>
      <c r="D57" s="161">
        <f>D56/D53</f>
        <v>137</v>
      </c>
      <c r="E57" s="161">
        <f>E56/E53</f>
        <v>138.4375</v>
      </c>
      <c r="F57" s="161">
        <f>F56/F53</f>
        <v>138.4375</v>
      </c>
    </row>
    <row r="58" spans="2:6" ht="15.75" thickBot="1" x14ac:dyDescent="0.3">
      <c r="B58" s="62" t="s">
        <v>22</v>
      </c>
      <c r="C58" s="145"/>
      <c r="D58" s="162">
        <f>D53/C53-1</f>
        <v>1</v>
      </c>
      <c r="E58" s="162">
        <f>E53/D53-1</f>
        <v>-0.19999999999999996</v>
      </c>
      <c r="F58" s="162">
        <f>F53/E53-1</f>
        <v>0</v>
      </c>
    </row>
    <row r="59" spans="2:6" ht="30.75" thickBot="1" x14ac:dyDescent="0.3">
      <c r="B59" s="62" t="s">
        <v>24</v>
      </c>
      <c r="C59" s="145"/>
      <c r="D59" s="162">
        <f>D56/C56-1</f>
        <v>5.85</v>
      </c>
      <c r="E59" s="162">
        <f t="shared" ref="E59:F60" si="2">E56/D56-1</f>
        <v>-0.19160583941605835</v>
      </c>
      <c r="F59" s="162">
        <f t="shared" si="2"/>
        <v>0</v>
      </c>
    </row>
    <row r="60" spans="2:6" ht="30.75" thickBot="1" x14ac:dyDescent="0.3">
      <c r="B60" s="62" t="s">
        <v>25</v>
      </c>
      <c r="C60" s="145"/>
      <c r="D60" s="162">
        <f>D57/C57-1</f>
        <v>2.4249999999999998</v>
      </c>
      <c r="E60" s="162">
        <f t="shared" si="2"/>
        <v>1.0492700729926918E-2</v>
      </c>
      <c r="F60" s="162">
        <f t="shared" si="2"/>
        <v>0</v>
      </c>
    </row>
    <row r="61" spans="2:6" ht="15.75" thickBot="1" x14ac:dyDescent="0.3">
      <c r="B61" s="1000" t="s">
        <v>796</v>
      </c>
      <c r="C61" s="1001"/>
      <c r="D61" s="1001"/>
      <c r="E61" s="1001"/>
      <c r="F61" s="1002"/>
    </row>
    <row r="62" spans="2:6" x14ac:dyDescent="0.25">
      <c r="B62" s="998"/>
      <c r="C62" s="63">
        <v>2018</v>
      </c>
      <c r="D62" s="63">
        <v>2019</v>
      </c>
      <c r="E62" s="63">
        <v>2020</v>
      </c>
      <c r="F62" s="63">
        <v>2021</v>
      </c>
    </row>
    <row r="63" spans="2:6" ht="15.75" thickBot="1" x14ac:dyDescent="0.3">
      <c r="B63" s="999"/>
      <c r="C63" s="64" t="s">
        <v>10</v>
      </c>
      <c r="D63" s="64" t="s">
        <v>11</v>
      </c>
      <c r="E63" s="64" t="s">
        <v>11</v>
      </c>
      <c r="F63" s="64" t="s">
        <v>11</v>
      </c>
    </row>
    <row r="64" spans="2:6" ht="15.75" thickBot="1" x14ac:dyDescent="0.3">
      <c r="B64" s="65" t="s">
        <v>26</v>
      </c>
      <c r="C64" s="164">
        <v>0</v>
      </c>
      <c r="D64" s="164">
        <v>1930</v>
      </c>
      <c r="E64" s="164">
        <v>1930</v>
      </c>
      <c r="F64" s="164">
        <v>1930</v>
      </c>
    </row>
    <row r="65" spans="2:6" ht="30.75" thickBot="1" x14ac:dyDescent="0.3">
      <c r="B65" s="65" t="s">
        <v>28</v>
      </c>
      <c r="C65" s="164">
        <v>0</v>
      </c>
      <c r="D65" s="164">
        <v>285</v>
      </c>
      <c r="E65" s="164">
        <v>285</v>
      </c>
      <c r="F65" s="164">
        <v>285</v>
      </c>
    </row>
    <row r="66" spans="2:6" ht="30.75" thickBot="1" x14ac:dyDescent="0.3">
      <c r="B66" s="65" t="s">
        <v>30</v>
      </c>
      <c r="C66" s="165">
        <f>(150000+250000)/1000</f>
        <v>400</v>
      </c>
      <c r="D66" s="164">
        <f>(250000+275000)/1000</f>
        <v>525</v>
      </c>
      <c r="E66" s="164">
        <v>0</v>
      </c>
      <c r="F66" s="164">
        <v>0</v>
      </c>
    </row>
    <row r="67" spans="2:6" ht="15.75" thickBot="1" x14ac:dyDescent="0.3">
      <c r="B67" s="65" t="s">
        <v>32</v>
      </c>
      <c r="C67" s="165"/>
      <c r="D67" s="164"/>
      <c r="E67" s="164"/>
      <c r="F67" s="164"/>
    </row>
    <row r="68" spans="2:6" ht="30.75" thickBot="1" x14ac:dyDescent="0.3">
      <c r="B68" s="65" t="s">
        <v>34</v>
      </c>
      <c r="C68" s="165"/>
      <c r="D68" s="164"/>
      <c r="E68" s="164"/>
      <c r="F68" s="164"/>
    </row>
    <row r="69" spans="2:6" ht="15.75" thickBot="1" x14ac:dyDescent="0.3">
      <c r="B69" s="65" t="s">
        <v>36</v>
      </c>
      <c r="C69" s="165"/>
      <c r="D69" s="164"/>
      <c r="E69" s="164"/>
      <c r="F69" s="164"/>
    </row>
    <row r="70" spans="2:6" ht="30.75" thickBot="1" x14ac:dyDescent="0.3">
      <c r="B70" s="65" t="s">
        <v>38</v>
      </c>
      <c r="C70" s="165"/>
      <c r="D70" s="164"/>
      <c r="E70" s="164"/>
      <c r="F70" s="164"/>
    </row>
    <row r="71" spans="2:6" ht="30.75" thickBot="1" x14ac:dyDescent="0.3">
      <c r="B71" s="196" t="s">
        <v>43</v>
      </c>
      <c r="C71" s="165">
        <f>C70+C69+C68+C67+C66+C65+C64</f>
        <v>400</v>
      </c>
      <c r="D71" s="165">
        <f>D70+D69+D68+D67+D66+D65+D64</f>
        <v>2740</v>
      </c>
      <c r="E71" s="165">
        <f>E70+E69+E68+E67+E66+E65+E64</f>
        <v>2215</v>
      </c>
      <c r="F71" s="165">
        <f>F70+F69+F68+F67+F66+F65+F64</f>
        <v>2215</v>
      </c>
    </row>
    <row r="72" spans="2:6" x14ac:dyDescent="0.25">
      <c r="B72" s="1015" t="s">
        <v>119</v>
      </c>
      <c r="C72" s="1037"/>
      <c r="D72" s="1037"/>
      <c r="E72" s="1037"/>
      <c r="F72" s="1038"/>
    </row>
    <row r="73" spans="2:6" x14ac:dyDescent="0.25">
      <c r="B73" s="1016"/>
      <c r="C73" s="1040"/>
      <c r="D73" s="1040"/>
      <c r="E73" s="1040"/>
      <c r="F73" s="1041"/>
    </row>
    <row r="74" spans="2:6" ht="15.75" thickBot="1" x14ac:dyDescent="0.3">
      <c r="B74" s="1017"/>
      <c r="C74" s="1043"/>
      <c r="D74" s="1043"/>
      <c r="E74" s="1043"/>
      <c r="F74" s="1044"/>
    </row>
    <row r="75" spans="2:6" ht="15.75" thickBot="1" x14ac:dyDescent="0.3">
      <c r="B75" s="166" t="s">
        <v>41</v>
      </c>
      <c r="C75" s="212">
        <f>IF(C71-C56=0,0,"Error")</f>
        <v>0</v>
      </c>
      <c r="D75" s="212">
        <f>IF(D71-D56=0,0,"Error")</f>
        <v>0</v>
      </c>
      <c r="E75" s="212">
        <f>IF(E71-E56=0,0,"Error")</f>
        <v>0</v>
      </c>
      <c r="F75" s="212">
        <f>IF(F71-F56=0,0,"Error")</f>
        <v>0</v>
      </c>
    </row>
    <row r="76" spans="2:6" ht="15.75" thickBot="1" x14ac:dyDescent="0.3">
      <c r="B76" s="1259" t="s">
        <v>55</v>
      </c>
      <c r="C76" s="1260"/>
      <c r="D76" s="1260"/>
      <c r="E76" s="1260"/>
      <c r="F76" s="1261"/>
    </row>
    <row r="77" spans="2:6" ht="15.75" thickBot="1" x14ac:dyDescent="0.3">
      <c r="B77" s="1229" t="s">
        <v>56</v>
      </c>
      <c r="C77" s="1230"/>
      <c r="D77" s="1230"/>
      <c r="E77" s="1230"/>
      <c r="F77" s="1231"/>
    </row>
    <row r="78" spans="2:6" ht="30.75" thickBot="1" x14ac:dyDescent="0.3">
      <c r="B78" s="229" t="s">
        <v>79</v>
      </c>
      <c r="C78" s="1074" t="s">
        <v>303</v>
      </c>
      <c r="D78" s="1075"/>
      <c r="E78" s="1075"/>
      <c r="F78" s="1076"/>
    </row>
    <row r="79" spans="2:6" ht="30.75" thickBot="1" x14ac:dyDescent="0.3">
      <c r="B79" s="230" t="s">
        <v>304</v>
      </c>
      <c r="C79" s="1235" t="s">
        <v>305</v>
      </c>
      <c r="D79" s="1236"/>
      <c r="E79" s="1236"/>
      <c r="F79" s="1237"/>
    </row>
    <row r="80" spans="2:6" ht="15.75" thickBot="1" x14ac:dyDescent="0.3">
      <c r="B80" s="229" t="s">
        <v>17</v>
      </c>
      <c r="C80" s="1232" t="s">
        <v>306</v>
      </c>
      <c r="D80" s="1233"/>
      <c r="E80" s="1233"/>
      <c r="F80" s="1234"/>
    </row>
    <row r="81" spans="2:6" ht="15.75" thickBot="1" x14ac:dyDescent="0.3">
      <c r="B81" s="229" t="s">
        <v>18</v>
      </c>
      <c r="C81" s="1235" t="s">
        <v>73</v>
      </c>
      <c r="D81" s="1236"/>
      <c r="E81" s="1236"/>
      <c r="F81" s="1237"/>
    </row>
    <row r="82" spans="2:6" x14ac:dyDescent="0.25">
      <c r="B82" s="1206"/>
      <c r="C82" s="231">
        <v>2018</v>
      </c>
      <c r="D82" s="231">
        <v>2019</v>
      </c>
      <c r="E82" s="231">
        <v>2020</v>
      </c>
      <c r="F82" s="231">
        <v>2021</v>
      </c>
    </row>
    <row r="83" spans="2:6" ht="15.75" thickBot="1" x14ac:dyDescent="0.3">
      <c r="B83" s="1207"/>
      <c r="C83" s="232" t="s">
        <v>10</v>
      </c>
      <c r="D83" s="232" t="s">
        <v>11</v>
      </c>
      <c r="E83" s="232" t="s">
        <v>11</v>
      </c>
      <c r="F83" s="232" t="s">
        <v>11</v>
      </c>
    </row>
    <row r="84" spans="2:6" ht="15.75" thickBot="1" x14ac:dyDescent="0.3">
      <c r="B84" s="229" t="s">
        <v>19</v>
      </c>
      <c r="C84" s="194">
        <v>30</v>
      </c>
      <c r="D84" s="194">
        <v>11</v>
      </c>
      <c r="E84" s="194">
        <v>11</v>
      </c>
      <c r="F84" s="194">
        <v>11</v>
      </c>
    </row>
    <row r="85" spans="2:6" ht="15.75" thickBot="1" x14ac:dyDescent="0.3">
      <c r="B85" s="229" t="s">
        <v>20</v>
      </c>
      <c r="C85" s="194">
        <v>2000</v>
      </c>
      <c r="D85" s="194">
        <v>800</v>
      </c>
      <c r="E85" s="194">
        <v>800</v>
      </c>
      <c r="F85" s="194">
        <v>800</v>
      </c>
    </row>
    <row r="86" spans="2:6" ht="30.75" thickBot="1" x14ac:dyDescent="0.3">
      <c r="B86" s="229" t="s">
        <v>21</v>
      </c>
      <c r="C86" s="194">
        <f>C85/C84</f>
        <v>66.666666666666671</v>
      </c>
      <c r="D86" s="194">
        <f t="shared" ref="D86:F86" si="3">D85/D84</f>
        <v>72.727272727272734</v>
      </c>
      <c r="E86" s="194">
        <f t="shared" si="3"/>
        <v>72.727272727272734</v>
      </c>
      <c r="F86" s="194">
        <f t="shared" si="3"/>
        <v>72.727272727272734</v>
      </c>
    </row>
    <row r="87" spans="2:6" ht="15.75" thickBot="1" x14ac:dyDescent="0.3">
      <c r="B87" s="229" t="s">
        <v>22</v>
      </c>
      <c r="C87" s="233" t="s">
        <v>23</v>
      </c>
      <c r="D87" s="234">
        <f>D84/C84-1</f>
        <v>-0.6333333333333333</v>
      </c>
      <c r="E87" s="234">
        <f t="shared" ref="E87:F89" si="4">E84/D84-1</f>
        <v>0</v>
      </c>
      <c r="F87" s="234">
        <f t="shared" si="4"/>
        <v>0</v>
      </c>
    </row>
    <row r="88" spans="2:6" ht="30.75" thickBot="1" x14ac:dyDescent="0.3">
      <c r="B88" s="229" t="s">
        <v>24</v>
      </c>
      <c r="C88" s="233" t="s">
        <v>23</v>
      </c>
      <c r="D88" s="234">
        <f>D85/C85-1</f>
        <v>-0.6</v>
      </c>
      <c r="E88" s="234">
        <f t="shared" si="4"/>
        <v>0</v>
      </c>
      <c r="F88" s="234">
        <f t="shared" si="4"/>
        <v>0</v>
      </c>
    </row>
    <row r="89" spans="2:6" ht="30.75" thickBot="1" x14ac:dyDescent="0.3">
      <c r="B89" s="229" t="s">
        <v>25</v>
      </c>
      <c r="C89" s="233" t="s">
        <v>23</v>
      </c>
      <c r="D89" s="234">
        <f>D86/C86-1</f>
        <v>9.0909090909090828E-2</v>
      </c>
      <c r="E89" s="234">
        <f t="shared" si="4"/>
        <v>0</v>
      </c>
      <c r="F89" s="234">
        <f t="shared" si="4"/>
        <v>0</v>
      </c>
    </row>
    <row r="90" spans="2:6" ht="15.75" thickBot="1" x14ac:dyDescent="0.3">
      <c r="B90" s="1203" t="s">
        <v>787</v>
      </c>
      <c r="C90" s="1204"/>
      <c r="D90" s="1204"/>
      <c r="E90" s="1204"/>
      <c r="F90" s="1205"/>
    </row>
    <row r="91" spans="2:6" x14ac:dyDescent="0.25">
      <c r="B91" s="1206"/>
      <c r="C91" s="231">
        <v>2018</v>
      </c>
      <c r="D91" s="231">
        <v>2019</v>
      </c>
      <c r="E91" s="231">
        <v>2020</v>
      </c>
      <c r="F91" s="231">
        <v>2021</v>
      </c>
    </row>
    <row r="92" spans="2:6" ht="15.75" thickBot="1" x14ac:dyDescent="0.3">
      <c r="B92" s="1207"/>
      <c r="C92" s="232" t="s">
        <v>10</v>
      </c>
      <c r="D92" s="232" t="s">
        <v>11</v>
      </c>
      <c r="E92" s="232" t="s">
        <v>11</v>
      </c>
      <c r="F92" s="232" t="s">
        <v>11</v>
      </c>
    </row>
    <row r="93" spans="2:6" ht="30.75" thickBot="1" x14ac:dyDescent="0.3">
      <c r="B93" s="235" t="s">
        <v>58</v>
      </c>
      <c r="C93" s="236">
        <v>0</v>
      </c>
      <c r="D93" s="236">
        <v>0</v>
      </c>
      <c r="E93" s="236">
        <v>0</v>
      </c>
      <c r="F93" s="236">
        <v>0</v>
      </c>
    </row>
    <row r="94" spans="2:6" ht="15.75" thickBot="1" x14ac:dyDescent="0.3">
      <c r="B94" s="235" t="s">
        <v>59</v>
      </c>
      <c r="C94" s="201">
        <v>2000</v>
      </c>
      <c r="D94" s="236">
        <v>800</v>
      </c>
      <c r="E94" s="236">
        <v>800</v>
      </c>
      <c r="F94" s="236">
        <v>800</v>
      </c>
    </row>
    <row r="95" spans="2:6" ht="30.75" thickBot="1" x14ac:dyDescent="0.3">
      <c r="B95" s="199" t="s">
        <v>52</v>
      </c>
      <c r="C95" s="201">
        <f>C94+C93</f>
        <v>2000</v>
      </c>
      <c r="D95" s="201">
        <f t="shared" ref="D95:F95" si="5">D94+D93</f>
        <v>800</v>
      </c>
      <c r="E95" s="201">
        <f t="shared" si="5"/>
        <v>800</v>
      </c>
      <c r="F95" s="201">
        <f t="shared" si="5"/>
        <v>800</v>
      </c>
    </row>
    <row r="96" spans="2:6" x14ac:dyDescent="0.25">
      <c r="B96" s="1208" t="s">
        <v>307</v>
      </c>
      <c r="C96" s="1211"/>
      <c r="D96" s="1212"/>
      <c r="E96" s="1212"/>
      <c r="F96" s="1213"/>
    </row>
    <row r="97" spans="2:6" x14ac:dyDescent="0.25">
      <c r="B97" s="1209"/>
      <c r="C97" s="1214"/>
      <c r="D97" s="1215"/>
      <c r="E97" s="1215"/>
      <c r="F97" s="1216"/>
    </row>
    <row r="98" spans="2:6" ht="15.75" thickBot="1" x14ac:dyDescent="0.3">
      <c r="B98" s="1210"/>
      <c r="C98" s="1217"/>
      <c r="D98" s="1218"/>
      <c r="E98" s="1218"/>
      <c r="F98" s="1219"/>
    </row>
    <row r="99" spans="2:6" ht="15.75" hidden="1" thickBot="1" x14ac:dyDescent="0.3">
      <c r="B99" s="734"/>
      <c r="C99" s="735">
        <f>+C95+C71+C45</f>
        <v>4525</v>
      </c>
      <c r="D99" s="735">
        <f>+D95+D71+D45</f>
        <v>7212.5</v>
      </c>
      <c r="E99" s="735">
        <f>+E95+E71+E45</f>
        <v>6687.5</v>
      </c>
      <c r="F99" s="735">
        <f>+F95+F71+F45</f>
        <v>6687.5</v>
      </c>
    </row>
    <row r="100" spans="2:6" ht="63.75" customHeight="1" thickBot="1" x14ac:dyDescent="0.3">
      <c r="B100" s="158" t="s">
        <v>67</v>
      </c>
      <c r="C100" s="1256" t="s">
        <v>308</v>
      </c>
      <c r="D100" s="1257"/>
      <c r="E100" s="1257"/>
      <c r="F100" s="1258"/>
    </row>
    <row r="101" spans="2:6" ht="39.75" customHeight="1" thickBot="1" x14ac:dyDescent="0.3">
      <c r="B101" s="1250" t="s">
        <v>275</v>
      </c>
      <c r="C101" s="1251"/>
      <c r="D101" s="1251"/>
      <c r="E101" s="1251"/>
      <c r="F101" s="1252"/>
    </row>
    <row r="102" spans="2:6" ht="90.75" thickBot="1" x14ac:dyDescent="0.3">
      <c r="B102" s="645" t="s">
        <v>1046</v>
      </c>
      <c r="C102" s="211" t="s">
        <v>309</v>
      </c>
      <c r="D102" s="211" t="s">
        <v>310</v>
      </c>
      <c r="E102" s="211" t="s">
        <v>311</v>
      </c>
      <c r="F102" s="211" t="s">
        <v>312</v>
      </c>
    </row>
    <row r="103" spans="2:6" ht="75.75" thickBot="1" x14ac:dyDescent="0.3">
      <c r="B103" s="645" t="s">
        <v>1047</v>
      </c>
      <c r="C103" s="211" t="s">
        <v>313</v>
      </c>
      <c r="D103" s="211" t="s">
        <v>314</v>
      </c>
      <c r="E103" s="211" t="s">
        <v>315</v>
      </c>
      <c r="F103" s="211" t="s">
        <v>315</v>
      </c>
    </row>
    <row r="104" spans="2:6" ht="90.75" thickBot="1" x14ac:dyDescent="0.3">
      <c r="B104" s="645" t="s">
        <v>1048</v>
      </c>
      <c r="C104" s="211" t="s">
        <v>315</v>
      </c>
      <c r="D104" s="211" t="s">
        <v>315</v>
      </c>
      <c r="E104" s="211" t="s">
        <v>315</v>
      </c>
      <c r="F104" s="211" t="s">
        <v>315</v>
      </c>
    </row>
    <row r="105" spans="2:6" ht="15.75" thickBot="1" x14ac:dyDescent="0.3">
      <c r="B105" s="989" t="s">
        <v>69</v>
      </c>
      <c r="C105" s="990"/>
      <c r="D105" s="990"/>
      <c r="E105" s="990"/>
      <c r="F105" s="991"/>
    </row>
    <row r="106" spans="2:6" ht="15.75" thickBot="1" x14ac:dyDescent="0.3">
      <c r="B106" s="989" t="s">
        <v>15</v>
      </c>
      <c r="C106" s="990"/>
      <c r="D106" s="990"/>
      <c r="E106" s="990"/>
      <c r="F106" s="991"/>
    </row>
    <row r="107" spans="2:6" ht="42" customHeight="1" thickBot="1" x14ac:dyDescent="0.3">
      <c r="B107" s="160" t="s">
        <v>16</v>
      </c>
      <c r="C107" s="1238" t="s">
        <v>316</v>
      </c>
      <c r="D107" s="1239"/>
      <c r="E107" s="1239"/>
      <c r="F107" s="1240"/>
    </row>
    <row r="108" spans="2:6" ht="36" customHeight="1" thickBot="1" x14ac:dyDescent="0.3">
      <c r="B108" s="62" t="s">
        <v>17</v>
      </c>
      <c r="C108" s="1238" t="s">
        <v>316</v>
      </c>
      <c r="D108" s="1239"/>
      <c r="E108" s="1239"/>
      <c r="F108" s="1240"/>
    </row>
    <row r="109" spans="2:6" ht="15.75" thickBot="1" x14ac:dyDescent="0.3">
      <c r="B109" s="62" t="s">
        <v>18</v>
      </c>
      <c r="C109" s="995" t="s">
        <v>300</v>
      </c>
      <c r="D109" s="996"/>
      <c r="E109" s="996"/>
      <c r="F109" s="997"/>
    </row>
    <row r="110" spans="2:6" x14ac:dyDescent="0.25">
      <c r="B110" s="998"/>
      <c r="C110" s="63">
        <v>2018</v>
      </c>
      <c r="D110" s="63">
        <v>2019</v>
      </c>
      <c r="E110" s="63">
        <v>2020</v>
      </c>
      <c r="F110" s="63">
        <v>2021</v>
      </c>
    </row>
    <row r="111" spans="2:6" ht="15.75" thickBot="1" x14ac:dyDescent="0.3">
      <c r="B111" s="999"/>
      <c r="C111" s="64" t="s">
        <v>10</v>
      </c>
      <c r="D111" s="64" t="s">
        <v>11</v>
      </c>
      <c r="E111" s="64" t="s">
        <v>11</v>
      </c>
      <c r="F111" s="64" t="s">
        <v>11</v>
      </c>
    </row>
    <row r="112" spans="2:6" ht="15.75" thickBot="1" x14ac:dyDescent="0.3">
      <c r="B112" s="62" t="s">
        <v>19</v>
      </c>
      <c r="C112" s="161">
        <v>56</v>
      </c>
      <c r="D112" s="161">
        <v>59</v>
      </c>
      <c r="E112" s="161">
        <v>69</v>
      </c>
      <c r="F112" s="161">
        <v>75</v>
      </c>
    </row>
    <row r="113" spans="2:6" ht="15.75" thickBot="1" x14ac:dyDescent="0.3">
      <c r="B113" s="62" t="s">
        <v>20</v>
      </c>
      <c r="C113" s="161">
        <v>59750</v>
      </c>
      <c r="D113" s="161">
        <v>62933.985000000001</v>
      </c>
      <c r="E113" s="161">
        <v>73209.494999999995</v>
      </c>
      <c r="F113" s="161">
        <v>80467.875</v>
      </c>
    </row>
    <row r="114" spans="2:6" ht="30.75" thickBot="1" x14ac:dyDescent="0.3">
      <c r="B114" s="62" t="s">
        <v>21</v>
      </c>
      <c r="C114" s="161">
        <f>C113/C112</f>
        <v>1066.9642857142858</v>
      </c>
      <c r="D114" s="161">
        <f t="shared" ref="D114:F114" si="6">D113/D112</f>
        <v>1066.6777118644068</v>
      </c>
      <c r="E114" s="161">
        <f t="shared" si="6"/>
        <v>1061.0071739130435</v>
      </c>
      <c r="F114" s="161">
        <f t="shared" si="6"/>
        <v>1072.905</v>
      </c>
    </row>
    <row r="115" spans="2:6" ht="15.75" thickBot="1" x14ac:dyDescent="0.3">
      <c r="B115" s="62" t="s">
        <v>22</v>
      </c>
      <c r="C115" s="145" t="s">
        <v>23</v>
      </c>
      <c r="D115" s="162">
        <f>D112/C112-1</f>
        <v>5.3571428571428603E-2</v>
      </c>
      <c r="E115" s="162">
        <f t="shared" ref="E115:F117" si="7">E112/D112-1</f>
        <v>0.16949152542372881</v>
      </c>
      <c r="F115" s="162">
        <f t="shared" si="7"/>
        <v>8.6956521739130377E-2</v>
      </c>
    </row>
    <row r="116" spans="2:6" ht="30.75" thickBot="1" x14ac:dyDescent="0.3">
      <c r="B116" s="62" t="s">
        <v>24</v>
      </c>
      <c r="C116" s="145" t="s">
        <v>23</v>
      </c>
      <c r="D116" s="162">
        <f>D113/C113-1</f>
        <v>5.3288451882845145E-2</v>
      </c>
      <c r="E116" s="162">
        <f t="shared" si="7"/>
        <v>0.16327442160225503</v>
      </c>
      <c r="F116" s="162">
        <f t="shared" si="7"/>
        <v>9.9145336270930473E-2</v>
      </c>
    </row>
    <row r="117" spans="2:6" ht="30.75" thickBot="1" x14ac:dyDescent="0.3">
      <c r="B117" s="62" t="s">
        <v>25</v>
      </c>
      <c r="C117" s="145" t="s">
        <v>23</v>
      </c>
      <c r="D117" s="162">
        <f>D114/C114-1</f>
        <v>-2.6858804340124109E-4</v>
      </c>
      <c r="E117" s="162">
        <f t="shared" si="7"/>
        <v>-5.3160742821296569E-3</v>
      </c>
      <c r="F117" s="162">
        <f t="shared" si="7"/>
        <v>1.121370936925592E-2</v>
      </c>
    </row>
    <row r="118" spans="2:6" ht="15.75" thickBot="1" x14ac:dyDescent="0.3">
      <c r="B118" s="1000" t="s">
        <v>784</v>
      </c>
      <c r="C118" s="1001"/>
      <c r="D118" s="1001"/>
      <c r="E118" s="1001"/>
      <c r="F118" s="1002"/>
    </row>
    <row r="119" spans="2:6" x14ac:dyDescent="0.25">
      <c r="B119" s="998"/>
      <c r="C119" s="63">
        <v>2018</v>
      </c>
      <c r="D119" s="63">
        <v>2019</v>
      </c>
      <c r="E119" s="63">
        <v>2020</v>
      </c>
      <c r="F119" s="63">
        <v>2021</v>
      </c>
    </row>
    <row r="120" spans="2:6" ht="15.75" thickBot="1" x14ac:dyDescent="0.3">
      <c r="B120" s="999"/>
      <c r="C120" s="64" t="s">
        <v>10</v>
      </c>
      <c r="D120" s="64" t="s">
        <v>11</v>
      </c>
      <c r="E120" s="64" t="s">
        <v>11</v>
      </c>
      <c r="F120" s="64" t="s">
        <v>11</v>
      </c>
    </row>
    <row r="121" spans="2:6" ht="15.75" thickBot="1" x14ac:dyDescent="0.3">
      <c r="B121" s="65" t="s">
        <v>26</v>
      </c>
      <c r="C121" s="164">
        <v>12864</v>
      </c>
      <c r="D121" s="164">
        <f>(7720000+1930000)/1000</f>
        <v>9650</v>
      </c>
      <c r="E121" s="164">
        <f>(7720000+1930000+1930000)/1000</f>
        <v>11580</v>
      </c>
      <c r="F121" s="164">
        <f>(7720000+1930000+1930000)/1000</f>
        <v>11580</v>
      </c>
    </row>
    <row r="122" spans="2:6" ht="30.75" thickBot="1" x14ac:dyDescent="0.3">
      <c r="B122" s="65" t="s">
        <v>28</v>
      </c>
      <c r="C122" s="164">
        <v>1936</v>
      </c>
      <c r="D122" s="164">
        <f>(1140000+285000)/1000</f>
        <v>1425</v>
      </c>
      <c r="E122" s="164">
        <f>(1140000+285000+285000)/1000</f>
        <v>1710</v>
      </c>
      <c r="F122" s="164">
        <f>(1140000+285000+285000)/1000</f>
        <v>1710</v>
      </c>
    </row>
    <row r="123" spans="2:6" ht="30.75" thickBot="1" x14ac:dyDescent="0.3">
      <c r="B123" s="65" t="s">
        <v>30</v>
      </c>
      <c r="C123" s="165">
        <f>(2855000+450000+150000+187000+938000+725000+544000+3200000+666000)/1000</f>
        <v>9715</v>
      </c>
      <c r="D123" s="164">
        <f>(1910700+446875+206250+1039500+825000+74250+646250+123750+275000+1910700+446875+206250+206250+528000+4579000+2142400+1193400+506000+633410+900000-2142400)/1000</f>
        <v>16657.46</v>
      </c>
      <c r="E123" s="164">
        <f>(1910700+446875+206250+1039500+1375000+123750+646250+206250+165000+1910700+446875+206250+528000+4579000+2142400+1193400+506000+633410+900000-2142400+750000)/1000</f>
        <v>17773.21</v>
      </c>
      <c r="F123" s="164">
        <f>(1910700+446875+206250+1039500+1375000+123750+646250+206250+275000+1910700+446875+206250+1039500+550000+49500+646250+82500+750000)/1000</f>
        <v>11911.15</v>
      </c>
    </row>
    <row r="124" spans="2:6" ht="15.75" thickBot="1" x14ac:dyDescent="0.3">
      <c r="B124" s="65" t="s">
        <v>32</v>
      </c>
      <c r="C124" s="165">
        <v>0</v>
      </c>
      <c r="D124" s="164">
        <v>0</v>
      </c>
      <c r="E124" s="164">
        <v>0</v>
      </c>
      <c r="F124" s="164">
        <v>0</v>
      </c>
    </row>
    <row r="125" spans="2:6" ht="30.75" thickBot="1" x14ac:dyDescent="0.3">
      <c r="B125" s="65" t="s">
        <v>34</v>
      </c>
      <c r="C125" s="165">
        <v>0</v>
      </c>
      <c r="D125" s="164">
        <v>0</v>
      </c>
      <c r="E125" s="164">
        <v>0</v>
      </c>
      <c r="F125" s="164">
        <v>0</v>
      </c>
    </row>
    <row r="126" spans="2:6" ht="15.75" thickBot="1" x14ac:dyDescent="0.3">
      <c r="B126" s="65" t="s">
        <v>36</v>
      </c>
      <c r="C126" s="165">
        <v>0</v>
      </c>
      <c r="D126" s="164">
        <v>0</v>
      </c>
      <c r="E126" s="164">
        <v>0</v>
      </c>
      <c r="F126" s="164">
        <v>0</v>
      </c>
    </row>
    <row r="127" spans="2:6" ht="30.75" thickBot="1" x14ac:dyDescent="0.3">
      <c r="B127" s="65" t="s">
        <v>38</v>
      </c>
      <c r="C127" s="165">
        <f>(29000000+6235000)/1000</f>
        <v>35235</v>
      </c>
      <c r="D127" s="164">
        <f>(59301525+4275000-24100000-4275000)/1000</f>
        <v>35201.525000000001</v>
      </c>
      <c r="E127" s="164">
        <f>(66246285+8550000+4275000+3420000-40345000)/1000</f>
        <v>42146.285000000003</v>
      </c>
      <c r="F127" s="164">
        <f>(79366725+19665000-43765000)/1000</f>
        <v>55266.724999999999</v>
      </c>
    </row>
    <row r="128" spans="2:6" ht="30.75" thickBot="1" x14ac:dyDescent="0.3">
      <c r="B128" s="66" t="s">
        <v>40</v>
      </c>
      <c r="C128" s="165">
        <f>C127+C126+C125+C124+C123+C122+C121</f>
        <v>59750</v>
      </c>
      <c r="D128" s="165">
        <f>D127+D126+D125+D124+D123+D122+D121</f>
        <v>62933.985000000001</v>
      </c>
      <c r="E128" s="165">
        <f>E127+E126+E125+E124+E123+E122+E121</f>
        <v>73209.494999999995</v>
      </c>
      <c r="F128" s="165">
        <f>F127+F126+F125+F124+F123+F122+F121</f>
        <v>80467.875</v>
      </c>
    </row>
    <row r="129" spans="2:6" x14ac:dyDescent="0.25">
      <c r="B129" s="1015" t="s">
        <v>785</v>
      </c>
      <c r="C129" s="1036"/>
      <c r="D129" s="1037"/>
      <c r="E129" s="1037"/>
      <c r="F129" s="1038"/>
    </row>
    <row r="130" spans="2:6" x14ac:dyDescent="0.25">
      <c r="B130" s="1016"/>
      <c r="C130" s="1039"/>
      <c r="D130" s="1040"/>
      <c r="E130" s="1040"/>
      <c r="F130" s="1041"/>
    </row>
    <row r="131" spans="2:6" ht="15.75" thickBot="1" x14ac:dyDescent="0.3">
      <c r="B131" s="1017"/>
      <c r="C131" s="1042"/>
      <c r="D131" s="1043"/>
      <c r="E131" s="1043"/>
      <c r="F131" s="1044"/>
    </row>
    <row r="132" spans="2:6" ht="15.75" thickBot="1" x14ac:dyDescent="0.3">
      <c r="B132" s="166" t="s">
        <v>41</v>
      </c>
      <c r="C132" s="212">
        <f>IF(C128-C113=0,0,"Error")</f>
        <v>0</v>
      </c>
      <c r="D132" s="212">
        <f>IF(D128-D113=0,0,"Error")</f>
        <v>0</v>
      </c>
      <c r="E132" s="212">
        <f>IF(E128-E113=0,0,"Error")</f>
        <v>0</v>
      </c>
      <c r="F132" s="212">
        <f>IF(F128-F113=0,0,"Error")</f>
        <v>0</v>
      </c>
    </row>
    <row r="133" spans="2:6" ht="15.75" thickBot="1" x14ac:dyDescent="0.3">
      <c r="B133" s="160" t="s">
        <v>42</v>
      </c>
      <c r="C133" s="1238" t="s">
        <v>317</v>
      </c>
      <c r="D133" s="1239"/>
      <c r="E133" s="1239"/>
      <c r="F133" s="1240"/>
    </row>
    <row r="134" spans="2:6" ht="15.75" thickBot="1" x14ac:dyDescent="0.3">
      <c r="B134" s="62" t="s">
        <v>17</v>
      </c>
      <c r="C134" s="1238" t="s">
        <v>317</v>
      </c>
      <c r="D134" s="1239"/>
      <c r="E134" s="1239"/>
      <c r="F134" s="1240"/>
    </row>
    <row r="135" spans="2:6" ht="15.75" thickBot="1" x14ac:dyDescent="0.3">
      <c r="B135" s="62" t="s">
        <v>18</v>
      </c>
      <c r="C135" s="995" t="s">
        <v>300</v>
      </c>
      <c r="D135" s="996"/>
      <c r="E135" s="996"/>
      <c r="F135" s="997"/>
    </row>
    <row r="136" spans="2:6" x14ac:dyDescent="0.25">
      <c r="B136" s="998"/>
      <c r="C136" s="63">
        <v>2018</v>
      </c>
      <c r="D136" s="63">
        <v>2019</v>
      </c>
      <c r="E136" s="63">
        <v>2020</v>
      </c>
      <c r="F136" s="63">
        <v>2021</v>
      </c>
    </row>
    <row r="137" spans="2:6" ht="15.75" thickBot="1" x14ac:dyDescent="0.3">
      <c r="B137" s="999"/>
      <c r="C137" s="64" t="s">
        <v>10</v>
      </c>
      <c r="D137" s="64" t="s">
        <v>11</v>
      </c>
      <c r="E137" s="64" t="s">
        <v>11</v>
      </c>
      <c r="F137" s="64" t="s">
        <v>11</v>
      </c>
    </row>
    <row r="138" spans="2:6" ht="15.75" thickBot="1" x14ac:dyDescent="0.3">
      <c r="B138" s="62" t="s">
        <v>19</v>
      </c>
      <c r="C138" s="161">
        <v>10</v>
      </c>
      <c r="D138" s="161">
        <v>11</v>
      </c>
      <c r="E138" s="161">
        <v>0</v>
      </c>
      <c r="F138" s="161">
        <v>0</v>
      </c>
    </row>
    <row r="139" spans="2:6" ht="15.75" thickBot="1" x14ac:dyDescent="0.3">
      <c r="B139" s="62" t="s">
        <v>20</v>
      </c>
      <c r="C139" s="161">
        <v>1575</v>
      </c>
      <c r="D139" s="161">
        <v>4222.5</v>
      </c>
      <c r="E139" s="161">
        <v>0</v>
      </c>
      <c r="F139" s="161">
        <v>0</v>
      </c>
    </row>
    <row r="140" spans="2:6" ht="30.75" thickBot="1" x14ac:dyDescent="0.3">
      <c r="B140" s="62" t="s">
        <v>21</v>
      </c>
      <c r="C140" s="161">
        <f>C139/C138</f>
        <v>157.5</v>
      </c>
      <c r="D140" s="161">
        <f t="shared" ref="D140" si="8">D139/D138</f>
        <v>383.86363636363637</v>
      </c>
      <c r="E140" s="161">
        <v>0</v>
      </c>
      <c r="F140" s="161">
        <v>0</v>
      </c>
    </row>
    <row r="141" spans="2:6" ht="15.75" thickBot="1" x14ac:dyDescent="0.3">
      <c r="B141" s="62" t="s">
        <v>22</v>
      </c>
      <c r="C141" s="145" t="s">
        <v>23</v>
      </c>
      <c r="D141" s="162">
        <f>D138/C138-1</f>
        <v>0.10000000000000009</v>
      </c>
      <c r="E141" s="162">
        <f t="shared" ref="E141:E143" si="9">E138/D138-1</f>
        <v>-1</v>
      </c>
      <c r="F141" s="162"/>
    </row>
    <row r="142" spans="2:6" ht="30.75" thickBot="1" x14ac:dyDescent="0.3">
      <c r="B142" s="62" t="s">
        <v>24</v>
      </c>
      <c r="C142" s="145" t="s">
        <v>23</v>
      </c>
      <c r="D142" s="162">
        <f>D139/C139-1</f>
        <v>1.6809523809523808</v>
      </c>
      <c r="E142" s="162">
        <f t="shared" si="9"/>
        <v>-1</v>
      </c>
      <c r="F142" s="162"/>
    </row>
    <row r="143" spans="2:6" ht="30.75" thickBot="1" x14ac:dyDescent="0.3">
      <c r="B143" s="62" t="s">
        <v>25</v>
      </c>
      <c r="C143" s="145" t="s">
        <v>23</v>
      </c>
      <c r="D143" s="162">
        <f>D140/C140-1</f>
        <v>1.4372294372294374</v>
      </c>
      <c r="E143" s="162">
        <f t="shared" si="9"/>
        <v>-1</v>
      </c>
      <c r="F143" s="162"/>
    </row>
    <row r="144" spans="2:6" ht="15.75" thickBot="1" x14ac:dyDescent="0.3">
      <c r="B144" s="1000" t="s">
        <v>797</v>
      </c>
      <c r="C144" s="1001"/>
      <c r="D144" s="1001"/>
      <c r="E144" s="1001"/>
      <c r="F144" s="1002"/>
    </row>
    <row r="145" spans="2:6" x14ac:dyDescent="0.25">
      <c r="B145" s="998"/>
      <c r="C145" s="63">
        <v>2018</v>
      </c>
      <c r="D145" s="63">
        <v>2019</v>
      </c>
      <c r="E145" s="63">
        <v>2020</v>
      </c>
      <c r="F145" s="63">
        <v>2021</v>
      </c>
    </row>
    <row r="146" spans="2:6" ht="15.75" thickBot="1" x14ac:dyDescent="0.3">
      <c r="B146" s="999"/>
      <c r="C146" s="64" t="s">
        <v>10</v>
      </c>
      <c r="D146" s="64" t="s">
        <v>11</v>
      </c>
      <c r="E146" s="64" t="s">
        <v>11</v>
      </c>
      <c r="F146" s="64" t="s">
        <v>11</v>
      </c>
    </row>
    <row r="147" spans="2:6" ht="15.75" thickBot="1" x14ac:dyDescent="0.3">
      <c r="B147" s="65" t="s">
        <v>26</v>
      </c>
      <c r="C147" s="164">
        <v>0</v>
      </c>
      <c r="D147" s="164">
        <v>1930</v>
      </c>
      <c r="E147" s="164">
        <v>0</v>
      </c>
      <c r="F147" s="164">
        <v>0</v>
      </c>
    </row>
    <row r="148" spans="2:6" ht="30.75" thickBot="1" x14ac:dyDescent="0.3">
      <c r="B148" s="65" t="s">
        <v>28</v>
      </c>
      <c r="C148" s="164">
        <v>0</v>
      </c>
      <c r="D148" s="164">
        <v>285</v>
      </c>
      <c r="E148" s="164">
        <v>0</v>
      </c>
      <c r="F148" s="164">
        <v>0</v>
      </c>
    </row>
    <row r="149" spans="2:6" ht="30.75" thickBot="1" x14ac:dyDescent="0.3">
      <c r="B149" s="65" t="s">
        <v>30</v>
      </c>
      <c r="C149" s="165">
        <f>(1200000+300000+75000)/1000</f>
        <v>1575</v>
      </c>
      <c r="D149" s="164">
        <f>(1320000+522500+165000+1050000-1050000)/1000</f>
        <v>2007.5</v>
      </c>
      <c r="E149" s="164">
        <v>0</v>
      </c>
      <c r="F149" s="164">
        <v>0</v>
      </c>
    </row>
    <row r="150" spans="2:6" ht="15.75" thickBot="1" x14ac:dyDescent="0.3">
      <c r="B150" s="65" t="s">
        <v>32</v>
      </c>
      <c r="C150" s="165">
        <v>0</v>
      </c>
      <c r="D150" s="164">
        <v>0</v>
      </c>
      <c r="E150" s="164">
        <v>0</v>
      </c>
      <c r="F150" s="164">
        <v>0</v>
      </c>
    </row>
    <row r="151" spans="2:6" ht="30.75" thickBot="1" x14ac:dyDescent="0.3">
      <c r="B151" s="65" t="s">
        <v>34</v>
      </c>
      <c r="C151" s="165">
        <v>0</v>
      </c>
      <c r="D151" s="164">
        <v>0</v>
      </c>
      <c r="E151" s="164">
        <v>0</v>
      </c>
      <c r="F151" s="164">
        <v>0</v>
      </c>
    </row>
    <row r="152" spans="2:6" ht="15.75" thickBot="1" x14ac:dyDescent="0.3">
      <c r="B152" s="65" t="s">
        <v>36</v>
      </c>
      <c r="C152" s="165">
        <v>0</v>
      </c>
      <c r="D152" s="164">
        <v>0</v>
      </c>
      <c r="E152" s="164">
        <v>0</v>
      </c>
      <c r="F152" s="164">
        <v>0</v>
      </c>
    </row>
    <row r="153" spans="2:6" ht="30.75" thickBot="1" x14ac:dyDescent="0.3">
      <c r="B153" s="65" t="s">
        <v>38</v>
      </c>
      <c r="C153" s="165">
        <v>0</v>
      </c>
      <c r="D153" s="164">
        <f>(2862000-2862000)/1000</f>
        <v>0</v>
      </c>
      <c r="E153" s="164">
        <v>0</v>
      </c>
      <c r="F153" s="164">
        <v>0</v>
      </c>
    </row>
    <row r="154" spans="2:6" ht="30.75" thickBot="1" x14ac:dyDescent="0.3">
      <c r="B154" s="66" t="s">
        <v>43</v>
      </c>
      <c r="C154" s="165">
        <f>C153+C152+C151+C150+C149+C148+C147</f>
        <v>1575</v>
      </c>
      <c r="D154" s="165">
        <f>D153+D152+D151+D150+D149+D148+D147</f>
        <v>4222.5</v>
      </c>
      <c r="E154" s="165">
        <f>E153+E152+E151+E150+E149+E148+E147</f>
        <v>0</v>
      </c>
      <c r="F154" s="165">
        <f>F153+F152+F151+F150+F149+F148+F147</f>
        <v>0</v>
      </c>
    </row>
    <row r="155" spans="2:6" x14ac:dyDescent="0.25">
      <c r="B155" s="1015" t="s">
        <v>798</v>
      </c>
      <c r="C155" s="1036"/>
      <c r="D155" s="1037"/>
      <c r="E155" s="1037"/>
      <c r="F155" s="1038"/>
    </row>
    <row r="156" spans="2:6" x14ac:dyDescent="0.25">
      <c r="B156" s="1016"/>
      <c r="C156" s="1039"/>
      <c r="D156" s="1040"/>
      <c r="E156" s="1040"/>
      <c r="F156" s="1041"/>
    </row>
    <row r="157" spans="2:6" ht="15.75" thickBot="1" x14ac:dyDescent="0.3">
      <c r="B157" s="1017"/>
      <c r="C157" s="1042"/>
      <c r="D157" s="1043"/>
      <c r="E157" s="1043"/>
      <c r="F157" s="1044"/>
    </row>
    <row r="158" spans="2:6" ht="15.75" thickBot="1" x14ac:dyDescent="0.3">
      <c r="B158" s="166" t="s">
        <v>41</v>
      </c>
      <c r="C158" s="212">
        <f>IF(C154-C139=0,0,"Error")</f>
        <v>0</v>
      </c>
      <c r="D158" s="212">
        <f>IF(D154-D139=0,0,"Error")</f>
        <v>0</v>
      </c>
      <c r="E158" s="212">
        <f>IF(E154-E139=0,0,"Error")</f>
        <v>0</v>
      </c>
      <c r="F158" s="212">
        <f>IF(F154-F139=0,0,"Error")</f>
        <v>0</v>
      </c>
    </row>
    <row r="159" spans="2:6" ht="39.75" customHeight="1" thickBot="1" x14ac:dyDescent="0.3">
      <c r="B159" s="213" t="s">
        <v>44</v>
      </c>
      <c r="C159" s="1238" t="s">
        <v>318</v>
      </c>
      <c r="D159" s="1239"/>
      <c r="E159" s="1239"/>
      <c r="F159" s="1240"/>
    </row>
    <row r="160" spans="2:6" ht="36" customHeight="1" thickBot="1" x14ac:dyDescent="0.3">
      <c r="B160" s="62" t="s">
        <v>17</v>
      </c>
      <c r="C160" s="1238" t="s">
        <v>319</v>
      </c>
      <c r="D160" s="1239"/>
      <c r="E160" s="1239"/>
      <c r="F160" s="1240"/>
    </row>
    <row r="161" spans="2:6" ht="15.75" thickBot="1" x14ac:dyDescent="0.3">
      <c r="B161" s="62" t="s">
        <v>18</v>
      </c>
      <c r="C161" s="995" t="s">
        <v>300</v>
      </c>
      <c r="D161" s="996"/>
      <c r="E161" s="996"/>
      <c r="F161" s="997"/>
    </row>
    <row r="162" spans="2:6" x14ac:dyDescent="0.25">
      <c r="B162" s="998"/>
      <c r="C162" s="63">
        <v>2018</v>
      </c>
      <c r="D162" s="63">
        <v>2019</v>
      </c>
      <c r="E162" s="63">
        <v>2020</v>
      </c>
      <c r="F162" s="63">
        <v>2021</v>
      </c>
    </row>
    <row r="163" spans="2:6" ht="15.75" thickBot="1" x14ac:dyDescent="0.3">
      <c r="B163" s="999"/>
      <c r="C163" s="64" t="s">
        <v>10</v>
      </c>
      <c r="D163" s="64" t="s">
        <v>11</v>
      </c>
      <c r="E163" s="64" t="s">
        <v>11</v>
      </c>
      <c r="F163" s="64" t="s">
        <v>11</v>
      </c>
    </row>
    <row r="164" spans="2:6" ht="15.75" thickBot="1" x14ac:dyDescent="0.3">
      <c r="B164" s="62" t="s">
        <v>19</v>
      </c>
      <c r="C164" s="161">
        <v>0</v>
      </c>
      <c r="D164" s="161">
        <v>0</v>
      </c>
      <c r="E164" s="161">
        <v>0</v>
      </c>
      <c r="F164" s="161">
        <v>0</v>
      </c>
    </row>
    <row r="165" spans="2:6" ht="15.75" thickBot="1" x14ac:dyDescent="0.3">
      <c r="B165" s="62" t="s">
        <v>20</v>
      </c>
      <c r="C165" s="161">
        <v>0</v>
      </c>
      <c r="D165" s="161">
        <v>0</v>
      </c>
      <c r="E165" s="161">
        <v>0</v>
      </c>
      <c r="F165" s="161">
        <v>0</v>
      </c>
    </row>
    <row r="166" spans="2:6" ht="30.75" thickBot="1" x14ac:dyDescent="0.3">
      <c r="B166" s="62" t="s">
        <v>21</v>
      </c>
      <c r="C166" s="161">
        <v>0</v>
      </c>
      <c r="D166" s="161">
        <v>0</v>
      </c>
      <c r="E166" s="161">
        <v>0</v>
      </c>
      <c r="F166" s="161">
        <v>0</v>
      </c>
    </row>
    <row r="167" spans="2:6" ht="15.75" thickBot="1" x14ac:dyDescent="0.3">
      <c r="B167" s="62" t="s">
        <v>22</v>
      </c>
      <c r="C167" s="145" t="s">
        <v>23</v>
      </c>
      <c r="D167" s="162"/>
      <c r="E167" s="162"/>
      <c r="F167" s="162"/>
    </row>
    <row r="168" spans="2:6" ht="30.75" thickBot="1" x14ac:dyDescent="0.3">
      <c r="B168" s="62" t="s">
        <v>24</v>
      </c>
      <c r="C168" s="145" t="s">
        <v>23</v>
      </c>
      <c r="D168" s="162"/>
      <c r="E168" s="162"/>
      <c r="F168" s="162"/>
    </row>
    <row r="169" spans="2:6" ht="30.75" thickBot="1" x14ac:dyDescent="0.3">
      <c r="B169" s="62" t="s">
        <v>25</v>
      </c>
      <c r="C169" s="145" t="s">
        <v>23</v>
      </c>
      <c r="D169" s="162"/>
      <c r="E169" s="162"/>
      <c r="F169" s="162"/>
    </row>
    <row r="170" spans="2:6" ht="15.75" thickBot="1" x14ac:dyDescent="0.3">
      <c r="B170" s="1000" t="s">
        <v>799</v>
      </c>
      <c r="C170" s="1001"/>
      <c r="D170" s="1001"/>
      <c r="E170" s="1001"/>
      <c r="F170" s="1002"/>
    </row>
    <row r="171" spans="2:6" x14ac:dyDescent="0.25">
      <c r="B171" s="998"/>
      <c r="C171" s="63">
        <v>2018</v>
      </c>
      <c r="D171" s="63">
        <v>2019</v>
      </c>
      <c r="E171" s="63">
        <v>2020</v>
      </c>
      <c r="F171" s="63">
        <v>2021</v>
      </c>
    </row>
    <row r="172" spans="2:6" ht="15.75" thickBot="1" x14ac:dyDescent="0.3">
      <c r="B172" s="999"/>
      <c r="C172" s="64" t="s">
        <v>10</v>
      </c>
      <c r="D172" s="64" t="s">
        <v>11</v>
      </c>
      <c r="E172" s="64" t="s">
        <v>11</v>
      </c>
      <c r="F172" s="64" t="s">
        <v>11</v>
      </c>
    </row>
    <row r="173" spans="2:6" ht="15.75" thickBot="1" x14ac:dyDescent="0.3">
      <c r="B173" s="65" t="s">
        <v>26</v>
      </c>
      <c r="C173" s="164">
        <v>0</v>
      </c>
      <c r="D173" s="164">
        <v>0</v>
      </c>
      <c r="E173" s="164"/>
      <c r="F173" s="164"/>
    </row>
    <row r="174" spans="2:6" ht="30.75" thickBot="1" x14ac:dyDescent="0.3">
      <c r="B174" s="65" t="s">
        <v>28</v>
      </c>
      <c r="C174" s="164">
        <v>0</v>
      </c>
      <c r="D174" s="164">
        <v>0</v>
      </c>
      <c r="E174" s="164"/>
      <c r="F174" s="164"/>
    </row>
    <row r="175" spans="2:6" ht="30.75" thickBot="1" x14ac:dyDescent="0.3">
      <c r="B175" s="65" t="s">
        <v>30</v>
      </c>
      <c r="C175" s="165">
        <v>0</v>
      </c>
      <c r="D175" s="164">
        <f>900000-900000</f>
        <v>0</v>
      </c>
      <c r="E175" s="164"/>
      <c r="F175" s="164"/>
    </row>
    <row r="176" spans="2:6" ht="15.75" thickBot="1" x14ac:dyDescent="0.3">
      <c r="B176" s="65" t="s">
        <v>32</v>
      </c>
      <c r="C176" s="165"/>
      <c r="D176" s="164"/>
      <c r="E176" s="164"/>
      <c r="F176" s="164"/>
    </row>
    <row r="177" spans="2:6" ht="30.75" thickBot="1" x14ac:dyDescent="0.3">
      <c r="B177" s="65" t="s">
        <v>34</v>
      </c>
      <c r="C177" s="165"/>
      <c r="D177" s="164"/>
      <c r="E177" s="164"/>
      <c r="F177" s="164"/>
    </row>
    <row r="178" spans="2:6" ht="15.75" thickBot="1" x14ac:dyDescent="0.3">
      <c r="B178" s="65" t="s">
        <v>36</v>
      </c>
      <c r="C178" s="165"/>
      <c r="D178" s="164"/>
      <c r="E178" s="164"/>
      <c r="F178" s="164"/>
    </row>
    <row r="179" spans="2:6" ht="30.75" thickBot="1" x14ac:dyDescent="0.3">
      <c r="B179" s="65" t="s">
        <v>38</v>
      </c>
      <c r="C179" s="165">
        <v>0</v>
      </c>
      <c r="D179" s="164">
        <f>33810000-33810000</f>
        <v>0</v>
      </c>
      <c r="E179" s="164"/>
      <c r="F179" s="164"/>
    </row>
    <row r="180" spans="2:6" ht="30.75" thickBot="1" x14ac:dyDescent="0.3">
      <c r="B180" s="66" t="s">
        <v>52</v>
      </c>
      <c r="C180" s="165">
        <f>C179+C178+C177+C176+C175+C174+C173</f>
        <v>0</v>
      </c>
      <c r="D180" s="165">
        <f>D179+D178+D177+D176+D175+D174+D173</f>
        <v>0</v>
      </c>
      <c r="E180" s="165">
        <f>E179+E178+E177+E176+E175+E174+E173</f>
        <v>0</v>
      </c>
      <c r="F180" s="165">
        <f>F179+F178+F177+F176+F175+F174+F173</f>
        <v>0</v>
      </c>
    </row>
    <row r="181" spans="2:6" x14ac:dyDescent="0.25">
      <c r="B181" s="1015" t="s">
        <v>800</v>
      </c>
      <c r="C181" s="1036"/>
      <c r="D181" s="1037"/>
      <c r="E181" s="1037"/>
      <c r="F181" s="1038"/>
    </row>
    <row r="182" spans="2:6" x14ac:dyDescent="0.25">
      <c r="B182" s="1016"/>
      <c r="C182" s="1039"/>
      <c r="D182" s="1040"/>
      <c r="E182" s="1040"/>
      <c r="F182" s="1041"/>
    </row>
    <row r="183" spans="2:6" ht="15.75" thickBot="1" x14ac:dyDescent="0.3">
      <c r="B183" s="1017"/>
      <c r="C183" s="1042"/>
      <c r="D183" s="1043"/>
      <c r="E183" s="1043"/>
      <c r="F183" s="1044"/>
    </row>
    <row r="184" spans="2:6" ht="15.75" thickBot="1" x14ac:dyDescent="0.3">
      <c r="B184" s="166" t="s">
        <v>41</v>
      </c>
      <c r="C184" s="212">
        <f>IF(C180-C165=0,0,"Error")</f>
        <v>0</v>
      </c>
      <c r="D184" s="212">
        <f>IF(D180-D165=0,0,"Error")</f>
        <v>0</v>
      </c>
      <c r="E184" s="212">
        <f>IF(E180-E165=0,0,"Error")</f>
        <v>0</v>
      </c>
      <c r="F184" s="212">
        <f>IF(F180-F165=0,0,"Error")</f>
        <v>0</v>
      </c>
    </row>
    <row r="185" spans="2:6" ht="15.75" thickBot="1" x14ac:dyDescent="0.3">
      <c r="B185" s="213" t="s">
        <v>53</v>
      </c>
      <c r="C185" s="1238" t="s">
        <v>320</v>
      </c>
      <c r="D185" s="1239"/>
      <c r="E185" s="1239"/>
      <c r="F185" s="1240"/>
    </row>
    <row r="186" spans="2:6" ht="15.75" thickBot="1" x14ac:dyDescent="0.3">
      <c r="B186" s="62" t="s">
        <v>17</v>
      </c>
      <c r="C186" s="1238" t="s">
        <v>321</v>
      </c>
      <c r="D186" s="1239"/>
      <c r="E186" s="1239"/>
      <c r="F186" s="1240"/>
    </row>
    <row r="187" spans="2:6" ht="15.75" thickBot="1" x14ac:dyDescent="0.3">
      <c r="B187" s="62" t="s">
        <v>18</v>
      </c>
      <c r="C187" s="1253" t="s">
        <v>322</v>
      </c>
      <c r="D187" s="1254"/>
      <c r="E187" s="1254"/>
      <c r="F187" s="1255"/>
    </row>
    <row r="188" spans="2:6" x14ac:dyDescent="0.25">
      <c r="B188" s="998"/>
      <c r="C188" s="63">
        <v>2018</v>
      </c>
      <c r="D188" s="63">
        <v>2019</v>
      </c>
      <c r="E188" s="63">
        <v>2020</v>
      </c>
      <c r="F188" s="63">
        <v>2021</v>
      </c>
    </row>
    <row r="189" spans="2:6" ht="15.75" thickBot="1" x14ac:dyDescent="0.3">
      <c r="B189" s="999"/>
      <c r="C189" s="64" t="s">
        <v>10</v>
      </c>
      <c r="D189" s="64" t="s">
        <v>11</v>
      </c>
      <c r="E189" s="64" t="s">
        <v>11</v>
      </c>
      <c r="F189" s="64" t="s">
        <v>11</v>
      </c>
    </row>
    <row r="190" spans="2:6" ht="15.75" thickBot="1" x14ac:dyDescent="0.3">
      <c r="B190" s="62" t="s">
        <v>19</v>
      </c>
      <c r="C190" s="161">
        <v>0</v>
      </c>
      <c r="D190" s="161">
        <v>5</v>
      </c>
      <c r="E190" s="161"/>
      <c r="F190" s="161"/>
    </row>
    <row r="191" spans="2:6" ht="15.75" thickBot="1" x14ac:dyDescent="0.3">
      <c r="B191" s="62" t="s">
        <v>20</v>
      </c>
      <c r="C191" s="161">
        <v>0</v>
      </c>
      <c r="D191" s="161">
        <v>750</v>
      </c>
      <c r="E191" s="161">
        <v>0</v>
      </c>
      <c r="F191" s="161">
        <v>0</v>
      </c>
    </row>
    <row r="192" spans="2:6" ht="30.75" thickBot="1" x14ac:dyDescent="0.3">
      <c r="B192" s="62" t="s">
        <v>21</v>
      </c>
      <c r="C192" s="161">
        <v>0</v>
      </c>
      <c r="D192" s="161">
        <f t="shared" ref="D192" si="10">D191/D190</f>
        <v>150</v>
      </c>
      <c r="E192" s="161">
        <v>0</v>
      </c>
      <c r="F192" s="161">
        <v>0</v>
      </c>
    </row>
    <row r="193" spans="2:6" ht="15.75" thickBot="1" x14ac:dyDescent="0.3">
      <c r="B193" s="62" t="s">
        <v>22</v>
      </c>
      <c r="C193" s="145" t="s">
        <v>23</v>
      </c>
      <c r="D193" s="162"/>
      <c r="E193" s="162">
        <f t="shared" ref="E193:F195" si="11">E190/D190-1</f>
        <v>-1</v>
      </c>
      <c r="F193" s="162">
        <v>0</v>
      </c>
    </row>
    <row r="194" spans="2:6" ht="30.75" thickBot="1" x14ac:dyDescent="0.3">
      <c r="B194" s="62" t="s">
        <v>24</v>
      </c>
      <c r="C194" s="145" t="s">
        <v>23</v>
      </c>
      <c r="D194" s="162"/>
      <c r="E194" s="162">
        <f t="shared" si="11"/>
        <v>-1</v>
      </c>
      <c r="F194" s="162" t="e">
        <f t="shared" si="11"/>
        <v>#DIV/0!</v>
      </c>
    </row>
    <row r="195" spans="2:6" ht="30.75" thickBot="1" x14ac:dyDescent="0.3">
      <c r="B195" s="62" t="s">
        <v>25</v>
      </c>
      <c r="C195" s="145" t="s">
        <v>23</v>
      </c>
      <c r="D195" s="162"/>
      <c r="E195" s="162">
        <f t="shared" si="11"/>
        <v>-1</v>
      </c>
      <c r="F195" s="162">
        <v>0</v>
      </c>
    </row>
    <row r="196" spans="2:6" ht="15.75" thickBot="1" x14ac:dyDescent="0.3">
      <c r="B196" s="1000" t="s">
        <v>801</v>
      </c>
      <c r="C196" s="1001"/>
      <c r="D196" s="1001"/>
      <c r="E196" s="1001"/>
      <c r="F196" s="1002"/>
    </row>
    <row r="197" spans="2:6" x14ac:dyDescent="0.25">
      <c r="B197" s="998"/>
      <c r="C197" s="63">
        <v>2018</v>
      </c>
      <c r="D197" s="63">
        <v>2019</v>
      </c>
      <c r="E197" s="63">
        <v>2020</v>
      </c>
      <c r="F197" s="63">
        <v>2021</v>
      </c>
    </row>
    <row r="198" spans="2:6" ht="15.75" thickBot="1" x14ac:dyDescent="0.3">
      <c r="B198" s="999"/>
      <c r="C198" s="64" t="s">
        <v>10</v>
      </c>
      <c r="D198" s="64" t="s">
        <v>11</v>
      </c>
      <c r="E198" s="64" t="s">
        <v>11</v>
      </c>
      <c r="F198" s="64" t="s">
        <v>11</v>
      </c>
    </row>
    <row r="199" spans="2:6" ht="15.75" thickBot="1" x14ac:dyDescent="0.3">
      <c r="B199" s="65" t="s">
        <v>26</v>
      </c>
      <c r="C199" s="164">
        <v>0</v>
      </c>
      <c r="D199" s="164">
        <v>0</v>
      </c>
      <c r="E199" s="164">
        <v>0</v>
      </c>
      <c r="F199" s="164">
        <v>0</v>
      </c>
    </row>
    <row r="200" spans="2:6" ht="30.75" thickBot="1" x14ac:dyDescent="0.3">
      <c r="B200" s="65" t="s">
        <v>28</v>
      </c>
      <c r="C200" s="164">
        <v>0</v>
      </c>
      <c r="D200" s="164">
        <v>0</v>
      </c>
      <c r="E200" s="164">
        <v>0</v>
      </c>
      <c r="F200" s="164">
        <v>0</v>
      </c>
    </row>
    <row r="201" spans="2:6" ht="30.75" thickBot="1" x14ac:dyDescent="0.3">
      <c r="B201" s="65" t="s">
        <v>30</v>
      </c>
      <c r="C201" s="165">
        <v>0</v>
      </c>
      <c r="D201" s="164">
        <f>(2750000-2000000)/1000</f>
        <v>750</v>
      </c>
      <c r="E201" s="164">
        <v>0</v>
      </c>
      <c r="F201" s="164">
        <v>0</v>
      </c>
    </row>
    <row r="202" spans="2:6" ht="15.75" thickBot="1" x14ac:dyDescent="0.3">
      <c r="B202" s="65" t="s">
        <v>32</v>
      </c>
      <c r="C202" s="165">
        <v>0</v>
      </c>
      <c r="D202" s="164">
        <v>0</v>
      </c>
      <c r="E202" s="164">
        <v>0</v>
      </c>
      <c r="F202" s="164">
        <v>0</v>
      </c>
    </row>
    <row r="203" spans="2:6" ht="30.75" thickBot="1" x14ac:dyDescent="0.3">
      <c r="B203" s="65" t="s">
        <v>34</v>
      </c>
      <c r="C203" s="165">
        <v>0</v>
      </c>
      <c r="D203" s="164">
        <v>0</v>
      </c>
      <c r="E203" s="164">
        <v>0</v>
      </c>
      <c r="F203" s="164">
        <v>0</v>
      </c>
    </row>
    <row r="204" spans="2:6" ht="15.75" thickBot="1" x14ac:dyDescent="0.3">
      <c r="B204" s="65" t="s">
        <v>36</v>
      </c>
      <c r="C204" s="165">
        <v>0</v>
      </c>
      <c r="D204" s="164">
        <v>0</v>
      </c>
      <c r="E204" s="164">
        <v>0</v>
      </c>
      <c r="F204" s="164">
        <v>0</v>
      </c>
    </row>
    <row r="205" spans="2:6" ht="30.75" thickBot="1" x14ac:dyDescent="0.3">
      <c r="B205" s="65" t="s">
        <v>38</v>
      </c>
      <c r="C205" s="165"/>
      <c r="D205" s="164"/>
      <c r="E205" s="164"/>
      <c r="F205" s="164"/>
    </row>
    <row r="206" spans="2:6" ht="30.75" thickBot="1" x14ac:dyDescent="0.3">
      <c r="B206" s="66" t="s">
        <v>54</v>
      </c>
      <c r="C206" s="165">
        <f>C205+C204+C203+C202+C201+C200+C199</f>
        <v>0</v>
      </c>
      <c r="D206" s="165">
        <f>D205+D204+D203+D202+D201+D200+D199</f>
        <v>750</v>
      </c>
      <c r="E206" s="165">
        <f>E205+E204+E203+E202+E201+E200+E199</f>
        <v>0</v>
      </c>
      <c r="F206" s="165">
        <f>F205+F204+F203+F202+F201+F200+F199</f>
        <v>0</v>
      </c>
    </row>
    <row r="207" spans="2:6" x14ac:dyDescent="0.25">
      <c r="B207" s="1015" t="s">
        <v>802</v>
      </c>
      <c r="C207" s="1036"/>
      <c r="D207" s="1037"/>
      <c r="E207" s="1037"/>
      <c r="F207" s="1038"/>
    </row>
    <row r="208" spans="2:6" x14ac:dyDescent="0.25">
      <c r="B208" s="1016"/>
      <c r="C208" s="1039"/>
      <c r="D208" s="1040"/>
      <c r="E208" s="1040"/>
      <c r="F208" s="1041"/>
    </row>
    <row r="209" spans="2:6" ht="15.75" thickBot="1" x14ac:dyDescent="0.3">
      <c r="B209" s="1017"/>
      <c r="C209" s="1042"/>
      <c r="D209" s="1043"/>
      <c r="E209" s="1043"/>
      <c r="F209" s="1044"/>
    </row>
    <row r="210" spans="2:6" ht="15.75" thickBot="1" x14ac:dyDescent="0.3">
      <c r="B210" s="166" t="s">
        <v>41</v>
      </c>
      <c r="C210" s="214">
        <f>IF(C206-C191=0,0,"Error")</f>
        <v>0</v>
      </c>
      <c r="D210" s="215">
        <f>IF(D206-D191=0,0,"Error")</f>
        <v>0</v>
      </c>
      <c r="E210" s="215">
        <f>IF(E206-E191=0,0,"Error")</f>
        <v>0</v>
      </c>
      <c r="F210" s="215">
        <f>IF(F206-F191=0,0,"Error")</f>
        <v>0</v>
      </c>
    </row>
    <row r="211" spans="2:6" ht="15.75" hidden="1" thickBot="1" x14ac:dyDescent="0.3">
      <c r="B211" s="226"/>
      <c r="C211" s="227">
        <f>+C206+C180+C154+C128</f>
        <v>61325</v>
      </c>
      <c r="D211" s="227">
        <f>+D206+D180+D154+D128</f>
        <v>67906.485000000001</v>
      </c>
      <c r="E211" s="227">
        <f>+E206+E180+E154+E128</f>
        <v>73209.494999999995</v>
      </c>
      <c r="F211" s="227">
        <f>+F206+F180+F154+F128</f>
        <v>80467.875</v>
      </c>
    </row>
    <row r="212" spans="2:6" ht="44.25" customHeight="1" thickBot="1" x14ac:dyDescent="0.3">
      <c r="B212" s="158" t="s">
        <v>75</v>
      </c>
      <c r="C212" s="1238" t="s">
        <v>323</v>
      </c>
      <c r="D212" s="1239"/>
      <c r="E212" s="1239"/>
      <c r="F212" s="1240"/>
    </row>
    <row r="213" spans="2:6" ht="43.5" customHeight="1" thickBot="1" x14ac:dyDescent="0.3">
      <c r="B213" s="1250" t="s">
        <v>280</v>
      </c>
      <c r="C213" s="1251"/>
      <c r="D213" s="1251"/>
      <c r="E213" s="1251"/>
      <c r="F213" s="1252"/>
    </row>
    <row r="214" spans="2:6" ht="60.75" thickBot="1" x14ac:dyDescent="0.3">
      <c r="B214" s="645" t="s">
        <v>1049</v>
      </c>
      <c r="C214" s="211" t="s">
        <v>311</v>
      </c>
      <c r="D214" s="211" t="s">
        <v>324</v>
      </c>
      <c r="E214" s="211" t="s">
        <v>325</v>
      </c>
      <c r="F214" s="211" t="s">
        <v>326</v>
      </c>
    </row>
    <row r="215" spans="2:6" ht="60.75" thickBot="1" x14ac:dyDescent="0.3">
      <c r="B215" s="645" t="s">
        <v>1050</v>
      </c>
      <c r="C215" s="211" t="s">
        <v>315</v>
      </c>
      <c r="D215" s="211" t="s">
        <v>327</v>
      </c>
      <c r="E215" s="211" t="s">
        <v>328</v>
      </c>
      <c r="F215" s="211" t="s">
        <v>329</v>
      </c>
    </row>
    <row r="216" spans="2:6" ht="15.75" thickBot="1" x14ac:dyDescent="0.3">
      <c r="B216" s="989" t="s">
        <v>77</v>
      </c>
      <c r="C216" s="990"/>
      <c r="D216" s="990"/>
      <c r="E216" s="990"/>
      <c r="F216" s="991"/>
    </row>
    <row r="217" spans="2:6" ht="15.75" thickBot="1" x14ac:dyDescent="0.3">
      <c r="B217" s="989" t="s">
        <v>15</v>
      </c>
      <c r="C217" s="990"/>
      <c r="D217" s="990"/>
      <c r="E217" s="990"/>
      <c r="F217" s="991"/>
    </row>
    <row r="218" spans="2:6" ht="27.75" customHeight="1" thickBot="1" x14ac:dyDescent="0.3">
      <c r="B218" s="218" t="s">
        <v>16</v>
      </c>
      <c r="C218" s="1238" t="s">
        <v>330</v>
      </c>
      <c r="D218" s="1239"/>
      <c r="E218" s="1239"/>
      <c r="F218" s="1240"/>
    </row>
    <row r="219" spans="2:6" ht="30" customHeight="1" thickBot="1" x14ac:dyDescent="0.3">
      <c r="B219" s="62" t="s">
        <v>17</v>
      </c>
      <c r="C219" s="1238" t="s">
        <v>330</v>
      </c>
      <c r="D219" s="1239"/>
      <c r="E219" s="1239"/>
      <c r="F219" s="1240"/>
    </row>
    <row r="220" spans="2:6" ht="15.75" thickBot="1" x14ac:dyDescent="0.3">
      <c r="B220" s="62" t="s">
        <v>18</v>
      </c>
      <c r="C220" s="995" t="s">
        <v>331</v>
      </c>
      <c r="D220" s="996"/>
      <c r="E220" s="996"/>
      <c r="F220" s="997"/>
    </row>
    <row r="221" spans="2:6" x14ac:dyDescent="0.25">
      <c r="B221" s="998"/>
      <c r="C221" s="63">
        <v>2018</v>
      </c>
      <c r="D221" s="63">
        <v>2019</v>
      </c>
      <c r="E221" s="63">
        <v>2020</v>
      </c>
      <c r="F221" s="63">
        <v>2021</v>
      </c>
    </row>
    <row r="222" spans="2:6" ht="15.75" thickBot="1" x14ac:dyDescent="0.3">
      <c r="B222" s="999"/>
      <c r="C222" s="64" t="s">
        <v>10</v>
      </c>
      <c r="D222" s="64" t="s">
        <v>11</v>
      </c>
      <c r="E222" s="64" t="s">
        <v>11</v>
      </c>
      <c r="F222" s="64" t="s">
        <v>11</v>
      </c>
    </row>
    <row r="223" spans="2:6" ht="15.75" thickBot="1" x14ac:dyDescent="0.3">
      <c r="B223" s="62" t="s">
        <v>19</v>
      </c>
      <c r="C223" s="161">
        <v>130</v>
      </c>
      <c r="D223" s="161">
        <v>89</v>
      </c>
      <c r="E223" s="161">
        <v>120</v>
      </c>
      <c r="F223" s="161">
        <v>100</v>
      </c>
    </row>
    <row r="224" spans="2:6" ht="15.75" thickBot="1" x14ac:dyDescent="0.3">
      <c r="B224" s="62" t="s">
        <v>20</v>
      </c>
      <c r="C224" s="161">
        <v>45750</v>
      </c>
      <c r="D224" s="161">
        <v>31300.396000000001</v>
      </c>
      <c r="E224" s="161">
        <v>42522.385999999999</v>
      </c>
      <c r="F224" s="161">
        <v>35764.006000000001</v>
      </c>
    </row>
    <row r="225" spans="2:6" ht="30.75" thickBot="1" x14ac:dyDescent="0.3">
      <c r="B225" s="62" t="s">
        <v>21</v>
      </c>
      <c r="C225" s="161">
        <f>C224/C223</f>
        <v>351.92307692307691</v>
      </c>
      <c r="D225" s="161">
        <f t="shared" ref="D225:F225" si="12">D224/D223</f>
        <v>351.68984269662923</v>
      </c>
      <c r="E225" s="161">
        <f t="shared" si="12"/>
        <v>354.35321666666664</v>
      </c>
      <c r="F225" s="161">
        <f t="shared" si="12"/>
        <v>357.64006000000001</v>
      </c>
    </row>
    <row r="226" spans="2:6" ht="15.75" thickBot="1" x14ac:dyDescent="0.3">
      <c r="B226" s="62" t="s">
        <v>22</v>
      </c>
      <c r="C226" s="145"/>
      <c r="D226" s="162">
        <f>D223/C223-1</f>
        <v>-0.31538461538461537</v>
      </c>
      <c r="E226" s="162">
        <f t="shared" ref="E226:F228" si="13">E223/D223-1</f>
        <v>0.348314606741573</v>
      </c>
      <c r="F226" s="162">
        <f t="shared" si="13"/>
        <v>-0.16666666666666663</v>
      </c>
    </row>
    <row r="227" spans="2:6" ht="30.75" thickBot="1" x14ac:dyDescent="0.3">
      <c r="B227" s="62" t="s">
        <v>24</v>
      </c>
      <c r="C227" s="145"/>
      <c r="D227" s="162">
        <f>D224/C224-1</f>
        <v>-0.3158383387978142</v>
      </c>
      <c r="E227" s="162">
        <f t="shared" si="13"/>
        <v>0.35852549597136085</v>
      </c>
      <c r="F227" s="162">
        <f t="shared" si="13"/>
        <v>-0.15893698909557896</v>
      </c>
    </row>
    <row r="228" spans="2:6" ht="30.75" thickBot="1" x14ac:dyDescent="0.3">
      <c r="B228" s="62" t="s">
        <v>25</v>
      </c>
      <c r="C228" s="145"/>
      <c r="D228" s="162">
        <f>D225/C225-1</f>
        <v>-6.6274206422289872E-4</v>
      </c>
      <c r="E228" s="162">
        <f t="shared" si="13"/>
        <v>7.5730761787591305E-3</v>
      </c>
      <c r="F228" s="162">
        <f t="shared" si="13"/>
        <v>9.2756130853053342E-3</v>
      </c>
    </row>
    <row r="229" spans="2:6" ht="15.75" thickBot="1" x14ac:dyDescent="0.3">
      <c r="B229" s="1000" t="s">
        <v>794</v>
      </c>
      <c r="C229" s="1001"/>
      <c r="D229" s="1001"/>
      <c r="E229" s="1001"/>
      <c r="F229" s="1002"/>
    </row>
    <row r="230" spans="2:6" x14ac:dyDescent="0.25">
      <c r="B230" s="998"/>
      <c r="C230" s="63">
        <v>2018</v>
      </c>
      <c r="D230" s="63">
        <v>2019</v>
      </c>
      <c r="E230" s="63">
        <v>2020</v>
      </c>
      <c r="F230" s="63">
        <v>2021</v>
      </c>
    </row>
    <row r="231" spans="2:6" ht="15.75" thickBot="1" x14ac:dyDescent="0.3">
      <c r="B231" s="999"/>
      <c r="C231" s="64" t="s">
        <v>10</v>
      </c>
      <c r="D231" s="64" t="s">
        <v>11</v>
      </c>
      <c r="E231" s="64" t="s">
        <v>11</v>
      </c>
      <c r="F231" s="64" t="s">
        <v>11</v>
      </c>
    </row>
    <row r="232" spans="2:6" ht="15.75" thickBot="1" x14ac:dyDescent="0.3">
      <c r="B232" s="65" t="s">
        <v>26</v>
      </c>
      <c r="C232" s="164">
        <v>12864</v>
      </c>
      <c r="D232" s="164">
        <v>11580</v>
      </c>
      <c r="E232" s="164">
        <v>11580</v>
      </c>
      <c r="F232" s="164">
        <v>11580</v>
      </c>
    </row>
    <row r="233" spans="2:6" ht="30.75" thickBot="1" x14ac:dyDescent="0.3">
      <c r="B233" s="65" t="s">
        <v>28</v>
      </c>
      <c r="C233" s="164">
        <v>1936</v>
      </c>
      <c r="D233" s="164">
        <v>1710</v>
      </c>
      <c r="E233" s="164">
        <v>1710</v>
      </c>
      <c r="F233" s="164">
        <v>1710</v>
      </c>
    </row>
    <row r="234" spans="2:6" ht="30.75" thickBot="1" x14ac:dyDescent="0.3">
      <c r="B234" s="65" t="s">
        <v>30</v>
      </c>
      <c r="C234" s="165">
        <f>(15841000+10765000+3200000+1144000)/1000</f>
        <v>30950</v>
      </c>
      <c r="D234" s="164">
        <f>(57845000+4579000+528000-44941604)/1000</f>
        <v>18010.396000000001</v>
      </c>
      <c r="E234" s="164">
        <v>28232.385999999999</v>
      </c>
      <c r="F234" s="164">
        <v>21474.006000000001</v>
      </c>
    </row>
    <row r="235" spans="2:6" ht="15.75" thickBot="1" x14ac:dyDescent="0.3">
      <c r="B235" s="65" t="s">
        <v>32</v>
      </c>
      <c r="C235" s="165">
        <v>0</v>
      </c>
      <c r="D235" s="164">
        <v>0</v>
      </c>
      <c r="E235" s="164">
        <v>0</v>
      </c>
      <c r="F235" s="164">
        <v>0</v>
      </c>
    </row>
    <row r="236" spans="2:6" ht="30.75" thickBot="1" x14ac:dyDescent="0.3">
      <c r="B236" s="65" t="s">
        <v>34</v>
      </c>
      <c r="C236" s="165">
        <v>0</v>
      </c>
      <c r="D236" s="164">
        <v>0</v>
      </c>
      <c r="E236" s="164">
        <v>0</v>
      </c>
      <c r="F236" s="164">
        <v>0</v>
      </c>
    </row>
    <row r="237" spans="2:6" ht="15.75" thickBot="1" x14ac:dyDescent="0.3">
      <c r="B237" s="65" t="s">
        <v>36</v>
      </c>
      <c r="C237" s="165">
        <v>0</v>
      </c>
      <c r="D237" s="164">
        <v>0</v>
      </c>
      <c r="E237" s="164">
        <v>0</v>
      </c>
      <c r="F237" s="164">
        <v>0</v>
      </c>
    </row>
    <row r="238" spans="2:6" ht="30.75" thickBot="1" x14ac:dyDescent="0.3">
      <c r="B238" s="65" t="s">
        <v>38</v>
      </c>
      <c r="C238" s="165">
        <v>0</v>
      </c>
      <c r="D238" s="164">
        <v>0</v>
      </c>
      <c r="E238" s="164">
        <v>0</v>
      </c>
      <c r="F238" s="164">
        <v>0</v>
      </c>
    </row>
    <row r="239" spans="2:6" ht="45.75" thickBot="1" x14ac:dyDescent="0.3">
      <c r="B239" s="204" t="s">
        <v>71</v>
      </c>
      <c r="C239" s="219">
        <f>C238+C236+C237+C235+C234+C233+C232</f>
        <v>45750</v>
      </c>
      <c r="D239" s="219">
        <f>D238+D236+D237+D235+D234+D233+D232</f>
        <v>31300.396000000001</v>
      </c>
      <c r="E239" s="219">
        <f>E238+E236+E237+E235+E234+E233+E232</f>
        <v>41522.385999999999</v>
      </c>
      <c r="F239" s="219">
        <f>F238+F236+F237+F235+F234+F233+F232</f>
        <v>34764.006000000001</v>
      </c>
    </row>
    <row r="240" spans="2:6" x14ac:dyDescent="0.25">
      <c r="B240" s="1015" t="s">
        <v>72</v>
      </c>
      <c r="C240" s="1037"/>
      <c r="D240" s="1037"/>
      <c r="E240" s="1037"/>
      <c r="F240" s="1038"/>
    </row>
    <row r="241" spans="2:6" x14ac:dyDescent="0.25">
      <c r="B241" s="1016"/>
      <c r="C241" s="1040"/>
      <c r="D241" s="1040"/>
      <c r="E241" s="1040"/>
      <c r="F241" s="1041"/>
    </row>
    <row r="242" spans="2:6" ht="15.75" thickBot="1" x14ac:dyDescent="0.3">
      <c r="B242" s="1017"/>
      <c r="C242" s="1043"/>
      <c r="D242" s="1043"/>
      <c r="E242" s="1043"/>
      <c r="F242" s="1044"/>
    </row>
    <row r="243" spans="2:6" ht="15.75" thickBot="1" x14ac:dyDescent="0.3">
      <c r="B243" s="166" t="s">
        <v>41</v>
      </c>
      <c r="C243" s="212">
        <f>IF(C239-C224=0,0,"Error")</f>
        <v>0</v>
      </c>
      <c r="D243" s="212">
        <f>IF(D239-D224=0,0,"Error")</f>
        <v>0</v>
      </c>
      <c r="E243" s="212">
        <v>0</v>
      </c>
      <c r="F243" s="212">
        <v>0</v>
      </c>
    </row>
    <row r="244" spans="2:6" ht="27" customHeight="1" thickBot="1" x14ac:dyDescent="0.3">
      <c r="B244" s="218" t="s">
        <v>42</v>
      </c>
      <c r="C244" s="1238" t="s">
        <v>332</v>
      </c>
      <c r="D244" s="1239"/>
      <c r="E244" s="1239"/>
      <c r="F244" s="1240"/>
    </row>
    <row r="245" spans="2:6" ht="29.25" customHeight="1" thickBot="1" x14ac:dyDescent="0.3">
      <c r="B245" s="62" t="s">
        <v>17</v>
      </c>
      <c r="C245" s="1238" t="s">
        <v>332</v>
      </c>
      <c r="D245" s="1239"/>
      <c r="E245" s="1239"/>
      <c r="F245" s="1240"/>
    </row>
    <row r="246" spans="2:6" ht="15.75" thickBot="1" x14ac:dyDescent="0.3">
      <c r="B246" s="62" t="s">
        <v>18</v>
      </c>
      <c r="C246" s="995" t="s">
        <v>331</v>
      </c>
      <c r="D246" s="996"/>
      <c r="E246" s="996"/>
      <c r="F246" s="997"/>
    </row>
    <row r="247" spans="2:6" x14ac:dyDescent="0.25">
      <c r="B247" s="998"/>
      <c r="C247" s="63">
        <v>2018</v>
      </c>
      <c r="D247" s="63">
        <v>2019</v>
      </c>
      <c r="E247" s="63">
        <v>2020</v>
      </c>
      <c r="F247" s="63">
        <v>2021</v>
      </c>
    </row>
    <row r="248" spans="2:6" ht="15.75" thickBot="1" x14ac:dyDescent="0.3">
      <c r="B248" s="999"/>
      <c r="C248" s="64" t="s">
        <v>10</v>
      </c>
      <c r="D248" s="64" t="s">
        <v>11</v>
      </c>
      <c r="E248" s="64" t="s">
        <v>11</v>
      </c>
      <c r="F248" s="64" t="s">
        <v>11</v>
      </c>
    </row>
    <row r="249" spans="2:6" ht="15.75" thickBot="1" x14ac:dyDescent="0.3">
      <c r="B249" s="62" t="s">
        <v>19</v>
      </c>
      <c r="C249" s="161">
        <v>0</v>
      </c>
      <c r="D249" s="161">
        <v>15</v>
      </c>
      <c r="E249" s="161">
        <v>15</v>
      </c>
      <c r="F249" s="161">
        <v>15</v>
      </c>
    </row>
    <row r="250" spans="2:6" ht="15.75" thickBot="1" x14ac:dyDescent="0.3">
      <c r="B250" s="62" t="s">
        <v>20</v>
      </c>
      <c r="C250" s="161">
        <v>0</v>
      </c>
      <c r="D250" s="161">
        <v>6610</v>
      </c>
      <c r="E250" s="161">
        <v>6610</v>
      </c>
      <c r="F250" s="161">
        <v>6610</v>
      </c>
    </row>
    <row r="251" spans="2:6" ht="30.75" thickBot="1" x14ac:dyDescent="0.3">
      <c r="B251" s="62" t="s">
        <v>21</v>
      </c>
      <c r="C251" s="161">
        <v>0</v>
      </c>
      <c r="D251" s="161">
        <f t="shared" ref="D251:F251" si="14">D250/D249</f>
        <v>440.66666666666669</v>
      </c>
      <c r="E251" s="161">
        <f t="shared" si="14"/>
        <v>440.66666666666669</v>
      </c>
      <c r="F251" s="161">
        <f t="shared" si="14"/>
        <v>440.66666666666669</v>
      </c>
    </row>
    <row r="252" spans="2:6" ht="15.75" thickBot="1" x14ac:dyDescent="0.3">
      <c r="B252" s="62" t="s">
        <v>22</v>
      </c>
      <c r="C252" s="145"/>
      <c r="D252" s="162"/>
      <c r="E252" s="162">
        <f t="shared" ref="E252:F254" si="15">E249/D249-1</f>
        <v>0</v>
      </c>
      <c r="F252" s="162">
        <f t="shared" si="15"/>
        <v>0</v>
      </c>
    </row>
    <row r="253" spans="2:6" ht="30.75" thickBot="1" x14ac:dyDescent="0.3">
      <c r="B253" s="62" t="s">
        <v>24</v>
      </c>
      <c r="C253" s="145"/>
      <c r="D253" s="162"/>
      <c r="E253" s="162">
        <f t="shared" si="15"/>
        <v>0</v>
      </c>
      <c r="F253" s="162">
        <f t="shared" si="15"/>
        <v>0</v>
      </c>
    </row>
    <row r="254" spans="2:6" ht="30.75" thickBot="1" x14ac:dyDescent="0.3">
      <c r="B254" s="62" t="s">
        <v>25</v>
      </c>
      <c r="C254" s="145"/>
      <c r="D254" s="162"/>
      <c r="E254" s="162">
        <f t="shared" si="15"/>
        <v>0</v>
      </c>
      <c r="F254" s="162">
        <f t="shared" si="15"/>
        <v>0</v>
      </c>
    </row>
    <row r="255" spans="2:6" ht="15.75" thickBot="1" x14ac:dyDescent="0.3">
      <c r="B255" s="1000" t="s">
        <v>797</v>
      </c>
      <c r="C255" s="1001"/>
      <c r="D255" s="1001"/>
      <c r="E255" s="1001"/>
      <c r="F255" s="1002"/>
    </row>
    <row r="256" spans="2:6" x14ac:dyDescent="0.25">
      <c r="B256" s="998"/>
      <c r="C256" s="63">
        <v>2018</v>
      </c>
      <c r="D256" s="63">
        <v>2019</v>
      </c>
      <c r="E256" s="63">
        <v>2020</v>
      </c>
      <c r="F256" s="63">
        <v>2021</v>
      </c>
    </row>
    <row r="257" spans="2:6" ht="15.75" thickBot="1" x14ac:dyDescent="0.3">
      <c r="B257" s="999"/>
      <c r="C257" s="64" t="s">
        <v>10</v>
      </c>
      <c r="D257" s="64" t="s">
        <v>11</v>
      </c>
      <c r="E257" s="64" t="s">
        <v>11</v>
      </c>
      <c r="F257" s="64" t="s">
        <v>11</v>
      </c>
    </row>
    <row r="258" spans="2:6" ht="15.75" thickBot="1" x14ac:dyDescent="0.3">
      <c r="B258" s="65" t="s">
        <v>26</v>
      </c>
      <c r="C258" s="164">
        <v>0</v>
      </c>
      <c r="D258" s="164">
        <v>3860</v>
      </c>
      <c r="E258" s="164">
        <v>3860</v>
      </c>
      <c r="F258" s="164">
        <v>3860</v>
      </c>
    </row>
    <row r="259" spans="2:6" ht="30.75" thickBot="1" x14ac:dyDescent="0.3">
      <c r="B259" s="65" t="s">
        <v>28</v>
      </c>
      <c r="C259" s="164">
        <v>0</v>
      </c>
      <c r="D259" s="164">
        <v>570</v>
      </c>
      <c r="E259" s="164">
        <v>570</v>
      </c>
      <c r="F259" s="164">
        <v>570</v>
      </c>
    </row>
    <row r="260" spans="2:6" ht="30.75" thickBot="1" x14ac:dyDescent="0.3">
      <c r="B260" s="65" t="s">
        <v>30</v>
      </c>
      <c r="C260" s="165">
        <v>0</v>
      </c>
      <c r="D260" s="164">
        <f>(3080000+1200000-1200000-900000)/1000</f>
        <v>2180</v>
      </c>
      <c r="E260" s="164">
        <f>(3080000+1200000-1200000-900000)/1000</f>
        <v>2180</v>
      </c>
      <c r="F260" s="164">
        <f>(3080000+1200000-1200000-900000)/1000</f>
        <v>2180</v>
      </c>
    </row>
    <row r="261" spans="2:6" ht="15.75" thickBot="1" x14ac:dyDescent="0.3">
      <c r="B261" s="65" t="s">
        <v>32</v>
      </c>
      <c r="C261" s="165">
        <v>0</v>
      </c>
      <c r="D261" s="164">
        <v>0</v>
      </c>
      <c r="E261" s="164">
        <v>0</v>
      </c>
      <c r="F261" s="164">
        <v>0</v>
      </c>
    </row>
    <row r="262" spans="2:6" ht="30.75" thickBot="1" x14ac:dyDescent="0.3">
      <c r="B262" s="65" t="s">
        <v>34</v>
      </c>
      <c r="C262" s="165">
        <v>0</v>
      </c>
      <c r="D262" s="164">
        <v>0</v>
      </c>
      <c r="E262" s="164">
        <v>0</v>
      </c>
      <c r="F262" s="164">
        <v>0</v>
      </c>
    </row>
    <row r="263" spans="2:6" ht="15.75" thickBot="1" x14ac:dyDescent="0.3">
      <c r="B263" s="65" t="s">
        <v>36</v>
      </c>
      <c r="C263" s="165">
        <v>0</v>
      </c>
      <c r="D263" s="164">
        <v>0</v>
      </c>
      <c r="E263" s="164">
        <v>0</v>
      </c>
      <c r="F263" s="164">
        <v>0</v>
      </c>
    </row>
    <row r="264" spans="2:6" ht="30.75" thickBot="1" x14ac:dyDescent="0.3">
      <c r="B264" s="65" t="s">
        <v>38</v>
      </c>
      <c r="C264" s="165">
        <v>0</v>
      </c>
      <c r="D264" s="164">
        <v>0</v>
      </c>
      <c r="E264" s="164">
        <v>0</v>
      </c>
      <c r="F264" s="164">
        <v>0</v>
      </c>
    </row>
    <row r="265" spans="2:6" ht="45.75" thickBot="1" x14ac:dyDescent="0.3">
      <c r="B265" s="204" t="s">
        <v>71</v>
      </c>
      <c r="C265" s="219">
        <f>C264+C262+C263+C261+C260+C259+C258</f>
        <v>0</v>
      </c>
      <c r="D265" s="219">
        <f>D264+D262+D263+D261+D260+D259+D258</f>
        <v>6610</v>
      </c>
      <c r="E265" s="219">
        <f>E264+E262+E263+E261+E260+E259+E258</f>
        <v>6610</v>
      </c>
      <c r="F265" s="219">
        <f>F264+F262+F263+F261+F260+F259+F258</f>
        <v>6610</v>
      </c>
    </row>
    <row r="266" spans="2:6" x14ac:dyDescent="0.25">
      <c r="B266" s="1015" t="s">
        <v>119</v>
      </c>
      <c r="C266" s="1037"/>
      <c r="D266" s="1037"/>
      <c r="E266" s="1037"/>
      <c r="F266" s="1038"/>
    </row>
    <row r="267" spans="2:6" x14ac:dyDescent="0.25">
      <c r="B267" s="1016"/>
      <c r="C267" s="1040"/>
      <c r="D267" s="1040"/>
      <c r="E267" s="1040"/>
      <c r="F267" s="1041"/>
    </row>
    <row r="268" spans="2:6" ht="15.75" thickBot="1" x14ac:dyDescent="0.3">
      <c r="B268" s="1017"/>
      <c r="C268" s="1043"/>
      <c r="D268" s="1043"/>
      <c r="E268" s="1043"/>
      <c r="F268" s="1044"/>
    </row>
    <row r="269" spans="2:6" ht="15.75" thickBot="1" x14ac:dyDescent="0.3">
      <c r="B269" s="166" t="s">
        <v>41</v>
      </c>
      <c r="C269" s="212">
        <f>IF(C265-C250=0,0,"Error")</f>
        <v>0</v>
      </c>
      <c r="D269" s="212">
        <f>IF(D265-D250=0,0,"Error")</f>
        <v>0</v>
      </c>
      <c r="E269" s="212">
        <f>IF(E265-E250=0,0,"Error")</f>
        <v>0</v>
      </c>
      <c r="F269" s="212">
        <f>IF(F265-F250=0,0,"Error")</f>
        <v>0</v>
      </c>
    </row>
    <row r="270" spans="2:6" ht="15.75" thickBot="1" x14ac:dyDescent="0.3">
      <c r="B270" s="218" t="s">
        <v>44</v>
      </c>
      <c r="C270" s="1238" t="s">
        <v>333</v>
      </c>
      <c r="D270" s="1239"/>
      <c r="E270" s="1239"/>
      <c r="F270" s="1240"/>
    </row>
    <row r="271" spans="2:6" ht="15.75" customHeight="1" thickBot="1" x14ac:dyDescent="0.3">
      <c r="B271" s="62" t="s">
        <v>17</v>
      </c>
      <c r="C271" s="1238" t="s">
        <v>333</v>
      </c>
      <c r="D271" s="1239"/>
      <c r="E271" s="1239"/>
      <c r="F271" s="1240"/>
    </row>
    <row r="272" spans="2:6" ht="15.75" thickBot="1" x14ac:dyDescent="0.3">
      <c r="B272" s="62" t="s">
        <v>18</v>
      </c>
      <c r="C272" s="995" t="s">
        <v>334</v>
      </c>
      <c r="D272" s="996"/>
      <c r="E272" s="996"/>
      <c r="F272" s="997"/>
    </row>
    <row r="273" spans="2:6" x14ac:dyDescent="0.25">
      <c r="B273" s="998"/>
      <c r="C273" s="63">
        <v>2018</v>
      </c>
      <c r="D273" s="63">
        <v>2019</v>
      </c>
      <c r="E273" s="63">
        <v>2020</v>
      </c>
      <c r="F273" s="63">
        <v>2021</v>
      </c>
    </row>
    <row r="274" spans="2:6" ht="15.75" thickBot="1" x14ac:dyDescent="0.3">
      <c r="B274" s="999"/>
      <c r="C274" s="64" t="s">
        <v>10</v>
      </c>
      <c r="D274" s="64" t="s">
        <v>11</v>
      </c>
      <c r="E274" s="64" t="s">
        <v>11</v>
      </c>
      <c r="F274" s="64" t="s">
        <v>11</v>
      </c>
    </row>
    <row r="275" spans="2:6" ht="15.75" thickBot="1" x14ac:dyDescent="0.3">
      <c r="B275" s="62" t="s">
        <v>19</v>
      </c>
      <c r="C275" s="161">
        <v>0</v>
      </c>
      <c r="D275" s="161">
        <v>1805</v>
      </c>
      <c r="E275" s="161">
        <v>1805</v>
      </c>
      <c r="F275" s="161">
        <v>1805</v>
      </c>
    </row>
    <row r="276" spans="2:6" ht="15.75" thickBot="1" x14ac:dyDescent="0.3">
      <c r="B276" s="62" t="s">
        <v>20</v>
      </c>
      <c r="C276" s="161">
        <v>0</v>
      </c>
      <c r="D276" s="161">
        <v>10000</v>
      </c>
      <c r="E276" s="161">
        <v>10000</v>
      </c>
      <c r="F276" s="161">
        <v>10000</v>
      </c>
    </row>
    <row r="277" spans="2:6" ht="30.75" thickBot="1" x14ac:dyDescent="0.3">
      <c r="B277" s="62" t="s">
        <v>21</v>
      </c>
      <c r="C277" s="161">
        <v>0</v>
      </c>
      <c r="D277" s="161">
        <f t="shared" ref="D277:F277" si="16">D276/D275</f>
        <v>5.54016620498615</v>
      </c>
      <c r="E277" s="161">
        <f t="shared" si="16"/>
        <v>5.54016620498615</v>
      </c>
      <c r="F277" s="161">
        <f t="shared" si="16"/>
        <v>5.54016620498615</v>
      </c>
    </row>
    <row r="278" spans="2:6" ht="15.75" thickBot="1" x14ac:dyDescent="0.3">
      <c r="B278" s="62" t="s">
        <v>22</v>
      </c>
      <c r="C278" s="145"/>
      <c r="D278" s="162"/>
      <c r="E278" s="162">
        <f t="shared" ref="E278:F280" si="17">E275/D275-1</f>
        <v>0</v>
      </c>
      <c r="F278" s="162">
        <f t="shared" si="17"/>
        <v>0</v>
      </c>
    </row>
    <row r="279" spans="2:6" ht="30.75" thickBot="1" x14ac:dyDescent="0.3">
      <c r="B279" s="62" t="s">
        <v>24</v>
      </c>
      <c r="C279" s="145"/>
      <c r="D279" s="162"/>
      <c r="E279" s="162">
        <f t="shared" si="17"/>
        <v>0</v>
      </c>
      <c r="F279" s="162">
        <f t="shared" si="17"/>
        <v>0</v>
      </c>
    </row>
    <row r="280" spans="2:6" ht="30.75" thickBot="1" x14ac:dyDescent="0.3">
      <c r="B280" s="62" t="s">
        <v>25</v>
      </c>
      <c r="C280" s="145"/>
      <c r="D280" s="162"/>
      <c r="E280" s="162">
        <f t="shared" si="17"/>
        <v>0</v>
      </c>
      <c r="F280" s="162">
        <f t="shared" si="17"/>
        <v>0</v>
      </c>
    </row>
    <row r="281" spans="2:6" ht="15.75" thickBot="1" x14ac:dyDescent="0.3">
      <c r="B281" s="1000" t="s">
        <v>799</v>
      </c>
      <c r="C281" s="1001"/>
      <c r="D281" s="1001"/>
      <c r="E281" s="1001"/>
      <c r="F281" s="1002"/>
    </row>
    <row r="282" spans="2:6" x14ac:dyDescent="0.25">
      <c r="B282" s="998"/>
      <c r="C282" s="63">
        <v>2018</v>
      </c>
      <c r="D282" s="63">
        <v>2019</v>
      </c>
      <c r="E282" s="63">
        <v>2020</v>
      </c>
      <c r="F282" s="63">
        <v>2021</v>
      </c>
    </row>
    <row r="283" spans="2:6" ht="15.75" thickBot="1" x14ac:dyDescent="0.3">
      <c r="B283" s="999"/>
      <c r="C283" s="64" t="s">
        <v>10</v>
      </c>
      <c r="D283" s="64" t="s">
        <v>11</v>
      </c>
      <c r="E283" s="64" t="s">
        <v>11</v>
      </c>
      <c r="F283" s="64" t="s">
        <v>11</v>
      </c>
    </row>
    <row r="284" spans="2:6" ht="15.75" thickBot="1" x14ac:dyDescent="0.3">
      <c r="B284" s="65" t="s">
        <v>26</v>
      </c>
      <c r="C284" s="164"/>
      <c r="D284" s="164"/>
      <c r="E284" s="164"/>
      <c r="F284" s="164"/>
    </row>
    <row r="285" spans="2:6" ht="30.75" thickBot="1" x14ac:dyDescent="0.3">
      <c r="B285" s="65" t="s">
        <v>28</v>
      </c>
      <c r="C285" s="164">
        <v>0</v>
      </c>
      <c r="D285" s="164">
        <v>0</v>
      </c>
      <c r="E285" s="164">
        <v>0</v>
      </c>
      <c r="F285" s="164">
        <v>0</v>
      </c>
    </row>
    <row r="286" spans="2:6" ht="30.75" thickBot="1" x14ac:dyDescent="0.3">
      <c r="B286" s="65" t="s">
        <v>30</v>
      </c>
      <c r="C286" s="165">
        <v>0</v>
      </c>
      <c r="D286" s="164">
        <f>(31625000+1170000-22795000)/1000</f>
        <v>10000</v>
      </c>
      <c r="E286" s="164">
        <f>(31625000+1170000-22795000)/1000</f>
        <v>10000</v>
      </c>
      <c r="F286" s="164">
        <f>(31625000+1170000-22795000)/1000</f>
        <v>10000</v>
      </c>
    </row>
    <row r="287" spans="2:6" ht="15.75" thickBot="1" x14ac:dyDescent="0.3">
      <c r="B287" s="65" t="s">
        <v>32</v>
      </c>
      <c r="C287" s="165">
        <v>0</v>
      </c>
      <c r="D287" s="164">
        <v>0</v>
      </c>
      <c r="E287" s="164">
        <v>0</v>
      </c>
      <c r="F287" s="164">
        <v>0</v>
      </c>
    </row>
    <row r="288" spans="2:6" ht="30.75" thickBot="1" x14ac:dyDescent="0.3">
      <c r="B288" s="65" t="s">
        <v>34</v>
      </c>
      <c r="C288" s="165">
        <v>0</v>
      </c>
      <c r="D288" s="164">
        <v>0</v>
      </c>
      <c r="E288" s="164">
        <v>0</v>
      </c>
      <c r="F288" s="164">
        <v>0</v>
      </c>
    </row>
    <row r="289" spans="2:6" ht="15.75" thickBot="1" x14ac:dyDescent="0.3">
      <c r="B289" s="65" t="s">
        <v>36</v>
      </c>
      <c r="C289" s="165">
        <v>0</v>
      </c>
      <c r="D289" s="164">
        <v>0</v>
      </c>
      <c r="E289" s="164">
        <v>0</v>
      </c>
      <c r="F289" s="164">
        <v>0</v>
      </c>
    </row>
    <row r="290" spans="2:6" ht="30.75" thickBot="1" x14ac:dyDescent="0.3">
      <c r="B290" s="65" t="s">
        <v>38</v>
      </c>
      <c r="C290" s="165">
        <v>0</v>
      </c>
      <c r="D290" s="164">
        <v>0</v>
      </c>
      <c r="E290" s="164">
        <v>0</v>
      </c>
      <c r="F290" s="164">
        <v>0</v>
      </c>
    </row>
    <row r="291" spans="2:6" ht="45.75" thickBot="1" x14ac:dyDescent="0.3">
      <c r="B291" s="204" t="s">
        <v>71</v>
      </c>
      <c r="C291" s="219">
        <f>C290+C288+C289+C287+C286+C285+C284</f>
        <v>0</v>
      </c>
      <c r="D291" s="219">
        <f>D290+D288+D289+D287+D286+D285+D284</f>
        <v>10000</v>
      </c>
      <c r="E291" s="219">
        <f>E290+E288+E289+E287+E286+E285+E284</f>
        <v>10000</v>
      </c>
      <c r="F291" s="219">
        <f>F290+F288+F289+F287+F286+F285+F284</f>
        <v>10000</v>
      </c>
    </row>
    <row r="292" spans="2:6" x14ac:dyDescent="0.25">
      <c r="B292" s="1015" t="s">
        <v>335</v>
      </c>
      <c r="C292" s="1037"/>
      <c r="D292" s="1037"/>
      <c r="E292" s="1037"/>
      <c r="F292" s="1038"/>
    </row>
    <row r="293" spans="2:6" x14ac:dyDescent="0.25">
      <c r="B293" s="1016"/>
      <c r="C293" s="1040"/>
      <c r="D293" s="1040"/>
      <c r="E293" s="1040"/>
      <c r="F293" s="1041"/>
    </row>
    <row r="294" spans="2:6" ht="15.75" thickBot="1" x14ac:dyDescent="0.3">
      <c r="B294" s="1017"/>
      <c r="C294" s="1043"/>
      <c r="D294" s="1043"/>
      <c r="E294" s="1043"/>
      <c r="F294" s="1044"/>
    </row>
    <row r="295" spans="2:6" ht="15.75" thickBot="1" x14ac:dyDescent="0.3">
      <c r="B295" s="166" t="s">
        <v>41</v>
      </c>
      <c r="C295" s="212">
        <f>IF(C291-C276=0,0,"Error")</f>
        <v>0</v>
      </c>
      <c r="D295" s="212">
        <f>IF(D291-D276=0,0,"Error")</f>
        <v>0</v>
      </c>
      <c r="E295" s="212">
        <f>IF(E291-E276=0,0,"Error")</f>
        <v>0</v>
      </c>
      <c r="F295" s="212">
        <f>IF(F291-F276=0,0,"Error")</f>
        <v>0</v>
      </c>
    </row>
    <row r="296" spans="2:6" ht="15.75" thickBot="1" x14ac:dyDescent="0.3">
      <c r="B296" s="1229" t="s">
        <v>63</v>
      </c>
      <c r="C296" s="1230"/>
      <c r="D296" s="1230"/>
      <c r="E296" s="1230"/>
      <c r="F296" s="1231"/>
    </row>
    <row r="297" spans="2:6" ht="15.75" thickBot="1" x14ac:dyDescent="0.3">
      <c r="B297" s="1229" t="s">
        <v>336</v>
      </c>
      <c r="C297" s="1230"/>
      <c r="D297" s="1230"/>
      <c r="E297" s="1230"/>
      <c r="F297" s="1231"/>
    </row>
    <row r="298" spans="2:6" ht="30.75" thickBot="1" x14ac:dyDescent="0.3">
      <c r="B298" s="229" t="s">
        <v>61</v>
      </c>
      <c r="C298" s="1074" t="s">
        <v>337</v>
      </c>
      <c r="D298" s="1075"/>
      <c r="E298" s="1075"/>
      <c r="F298" s="1076"/>
    </row>
    <row r="299" spans="2:6" ht="30.75" thickBot="1" x14ac:dyDescent="0.3">
      <c r="B299" s="230" t="s">
        <v>66</v>
      </c>
      <c r="C299" s="1069" t="s">
        <v>338</v>
      </c>
      <c r="D299" s="1070"/>
      <c r="E299" s="1070"/>
      <c r="F299" s="1071"/>
    </row>
    <row r="300" spans="2:6" ht="15.75" thickBot="1" x14ac:dyDescent="0.3">
      <c r="B300" s="229" t="s">
        <v>17</v>
      </c>
      <c r="C300" s="1069" t="s">
        <v>338</v>
      </c>
      <c r="D300" s="1070"/>
      <c r="E300" s="1070"/>
      <c r="F300" s="1071"/>
    </row>
    <row r="301" spans="2:6" ht="15.75" thickBot="1" x14ac:dyDescent="0.3">
      <c r="B301" s="229" t="s">
        <v>18</v>
      </c>
      <c r="C301" s="1235" t="s">
        <v>57</v>
      </c>
      <c r="D301" s="1236"/>
      <c r="E301" s="1236"/>
      <c r="F301" s="1237"/>
    </row>
    <row r="302" spans="2:6" x14ac:dyDescent="0.25">
      <c r="B302" s="1206"/>
      <c r="C302" s="231">
        <v>2018</v>
      </c>
      <c r="D302" s="231">
        <v>2019</v>
      </c>
      <c r="E302" s="231">
        <v>2020</v>
      </c>
      <c r="F302" s="231">
        <v>2021</v>
      </c>
    </row>
    <row r="303" spans="2:6" ht="15.75" thickBot="1" x14ac:dyDescent="0.3">
      <c r="B303" s="1207"/>
      <c r="C303" s="232" t="s">
        <v>10</v>
      </c>
      <c r="D303" s="232" t="s">
        <v>11</v>
      </c>
      <c r="E303" s="232" t="s">
        <v>11</v>
      </c>
      <c r="F303" s="232" t="s">
        <v>11</v>
      </c>
    </row>
    <row r="304" spans="2:6" ht="15.75" thickBot="1" x14ac:dyDescent="0.3">
      <c r="B304" s="229" t="s">
        <v>19</v>
      </c>
      <c r="C304" s="194">
        <v>0</v>
      </c>
      <c r="D304" s="194">
        <v>0</v>
      </c>
      <c r="E304" s="194">
        <v>0</v>
      </c>
      <c r="F304" s="194">
        <v>0</v>
      </c>
    </row>
    <row r="305" spans="2:6" ht="15.75" thickBot="1" x14ac:dyDescent="0.3">
      <c r="B305" s="229" t="s">
        <v>20</v>
      </c>
      <c r="C305" s="194">
        <v>0</v>
      </c>
      <c r="D305" s="194">
        <v>0</v>
      </c>
      <c r="E305" s="194">
        <v>0</v>
      </c>
      <c r="F305" s="194">
        <v>0</v>
      </c>
    </row>
    <row r="306" spans="2:6" ht="30.75" thickBot="1" x14ac:dyDescent="0.3">
      <c r="B306" s="229" t="s">
        <v>21</v>
      </c>
      <c r="C306" s="194">
        <v>0</v>
      </c>
      <c r="D306" s="194">
        <v>0</v>
      </c>
      <c r="E306" s="194">
        <v>0</v>
      </c>
      <c r="F306" s="194">
        <v>0</v>
      </c>
    </row>
    <row r="307" spans="2:6" ht="15.75" thickBot="1" x14ac:dyDescent="0.3">
      <c r="B307" s="229" t="s">
        <v>22</v>
      </c>
      <c r="C307" s="233" t="s">
        <v>23</v>
      </c>
      <c r="D307" s="234"/>
      <c r="E307" s="234"/>
      <c r="F307" s="234"/>
    </row>
    <row r="308" spans="2:6" ht="30.75" thickBot="1" x14ac:dyDescent="0.3">
      <c r="B308" s="229" t="s">
        <v>24</v>
      </c>
      <c r="C308" s="233" t="s">
        <v>23</v>
      </c>
      <c r="D308" s="234"/>
      <c r="E308" s="234"/>
      <c r="F308" s="234"/>
    </row>
    <row r="309" spans="2:6" ht="30.75" thickBot="1" x14ac:dyDescent="0.3">
      <c r="B309" s="229" t="s">
        <v>25</v>
      </c>
      <c r="C309" s="233" t="s">
        <v>23</v>
      </c>
      <c r="D309" s="234"/>
      <c r="E309" s="234"/>
      <c r="F309" s="234"/>
    </row>
    <row r="310" spans="2:6" ht="15.75" thickBot="1" x14ac:dyDescent="0.3">
      <c r="B310" s="1203" t="s">
        <v>788</v>
      </c>
      <c r="C310" s="1204"/>
      <c r="D310" s="1204"/>
      <c r="E310" s="1204"/>
      <c r="F310" s="1205"/>
    </row>
    <row r="311" spans="2:6" x14ac:dyDescent="0.25">
      <c r="B311" s="1206"/>
      <c r="C311" s="231">
        <v>2018</v>
      </c>
      <c r="D311" s="231">
        <v>2019</v>
      </c>
      <c r="E311" s="231">
        <v>2020</v>
      </c>
      <c r="F311" s="231">
        <v>2021</v>
      </c>
    </row>
    <row r="312" spans="2:6" ht="15.75" thickBot="1" x14ac:dyDescent="0.3">
      <c r="B312" s="1207"/>
      <c r="C312" s="232" t="s">
        <v>10</v>
      </c>
      <c r="D312" s="232" t="s">
        <v>11</v>
      </c>
      <c r="E312" s="232" t="s">
        <v>11</v>
      </c>
      <c r="F312" s="232" t="s">
        <v>11</v>
      </c>
    </row>
    <row r="313" spans="2:6" ht="30.75" thickBot="1" x14ac:dyDescent="0.3">
      <c r="B313" s="235" t="s">
        <v>58</v>
      </c>
      <c r="C313" s="236"/>
      <c r="D313" s="236">
        <v>0</v>
      </c>
      <c r="E313" s="236">
        <v>0</v>
      </c>
      <c r="F313" s="236">
        <v>0</v>
      </c>
    </row>
    <row r="314" spans="2:6" ht="15.75" thickBot="1" x14ac:dyDescent="0.3">
      <c r="B314" s="235" t="s">
        <v>59</v>
      </c>
      <c r="C314" s="201">
        <v>0</v>
      </c>
      <c r="D314" s="236">
        <v>0</v>
      </c>
      <c r="E314" s="236">
        <v>0</v>
      </c>
      <c r="F314" s="236">
        <v>0</v>
      </c>
    </row>
    <row r="315" spans="2:6" ht="30.75" thickBot="1" x14ac:dyDescent="0.3">
      <c r="B315" s="199" t="s">
        <v>54</v>
      </c>
      <c r="C315" s="201">
        <f>C314+C313</f>
        <v>0</v>
      </c>
      <c r="D315" s="201">
        <f t="shared" ref="D315:F315" si="18">D314+D313</f>
        <v>0</v>
      </c>
      <c r="E315" s="201">
        <f t="shared" si="18"/>
        <v>0</v>
      </c>
      <c r="F315" s="201">
        <f t="shared" si="18"/>
        <v>0</v>
      </c>
    </row>
    <row r="316" spans="2:6" x14ac:dyDescent="0.25">
      <c r="B316" s="1208" t="s">
        <v>339</v>
      </c>
      <c r="C316" s="1211"/>
      <c r="D316" s="1212"/>
      <c r="E316" s="1212"/>
      <c r="F316" s="1213"/>
    </row>
    <row r="317" spans="2:6" x14ac:dyDescent="0.25">
      <c r="B317" s="1209"/>
      <c r="C317" s="1214"/>
      <c r="D317" s="1215"/>
      <c r="E317" s="1215"/>
      <c r="F317" s="1216"/>
    </row>
    <row r="318" spans="2:6" ht="15.75" thickBot="1" x14ac:dyDescent="0.3">
      <c r="B318" s="1210"/>
      <c r="C318" s="1217"/>
      <c r="D318" s="1218"/>
      <c r="E318" s="1218"/>
      <c r="F318" s="1219"/>
    </row>
    <row r="319" spans="2:6" ht="15.75" hidden="1" thickBot="1" x14ac:dyDescent="0.3">
      <c r="B319" s="220"/>
      <c r="C319" s="221">
        <f>+C291+C265+C239+C315</f>
        <v>45750</v>
      </c>
      <c r="D319" s="221">
        <f t="shared" ref="D319:F319" si="19">+D291+D265+D239+D315</f>
        <v>47910.396000000001</v>
      </c>
      <c r="E319" s="221">
        <f t="shared" si="19"/>
        <v>58132.385999999999</v>
      </c>
      <c r="F319" s="221">
        <f t="shared" si="19"/>
        <v>51374.006000000001</v>
      </c>
    </row>
    <row r="320" spans="2:6" ht="15.75" thickBot="1" x14ac:dyDescent="0.3">
      <c r="B320" s="146"/>
      <c r="C320" s="222"/>
      <c r="D320" s="222"/>
      <c r="E320" s="222"/>
      <c r="F320" s="223"/>
    </row>
    <row r="321" spans="2:6" ht="84.75" customHeight="1" x14ac:dyDescent="0.25">
      <c r="B321" s="224" t="s">
        <v>78</v>
      </c>
      <c r="C321" s="1241" t="s">
        <v>340</v>
      </c>
      <c r="D321" s="1242"/>
      <c r="E321" s="1242"/>
      <c r="F321" s="1243"/>
    </row>
    <row r="322" spans="2:6" ht="15" customHeight="1" x14ac:dyDescent="0.25">
      <c r="B322" s="1244" t="s">
        <v>285</v>
      </c>
      <c r="C322" s="1245"/>
      <c r="D322" s="1245"/>
      <c r="E322" s="1245"/>
      <c r="F322" s="1246"/>
    </row>
    <row r="323" spans="2:6" ht="15.75" customHeight="1" x14ac:dyDescent="0.25">
      <c r="B323" s="1247"/>
      <c r="C323" s="1248"/>
      <c r="D323" s="1248"/>
      <c r="E323" s="1248"/>
      <c r="F323" s="1249"/>
    </row>
    <row r="324" spans="2:6" ht="30.75" thickBot="1" x14ac:dyDescent="0.3">
      <c r="B324" s="646" t="s">
        <v>341</v>
      </c>
      <c r="C324" s="225" t="s">
        <v>342</v>
      </c>
      <c r="D324" s="225" t="s">
        <v>343</v>
      </c>
      <c r="E324" s="225" t="s">
        <v>343</v>
      </c>
      <c r="F324" s="225" t="s">
        <v>343</v>
      </c>
    </row>
    <row r="325" spans="2:6" ht="45.75" thickBot="1" x14ac:dyDescent="0.3">
      <c r="B325" s="646" t="s">
        <v>344</v>
      </c>
      <c r="C325" s="211" t="s">
        <v>342</v>
      </c>
      <c r="D325" s="211" t="s">
        <v>345</v>
      </c>
      <c r="E325" s="211" t="s">
        <v>345</v>
      </c>
      <c r="F325" s="211" t="s">
        <v>345</v>
      </c>
    </row>
    <row r="326" spans="2:6" ht="15.75" thickBot="1" x14ac:dyDescent="0.3">
      <c r="B326" s="1250" t="s">
        <v>346</v>
      </c>
      <c r="C326" s="1251"/>
      <c r="D326" s="1251"/>
      <c r="E326" s="1251"/>
      <c r="F326" s="1252"/>
    </row>
    <row r="327" spans="2:6" ht="15.75" thickBot="1" x14ac:dyDescent="0.3">
      <c r="B327" s="1030" t="s">
        <v>70</v>
      </c>
      <c r="C327" s="1031"/>
      <c r="D327" s="1031"/>
      <c r="E327" s="1031"/>
      <c r="F327" s="1032"/>
    </row>
    <row r="328" spans="2:6" x14ac:dyDescent="0.25">
      <c r="B328" s="998"/>
      <c r="C328" s="63">
        <v>2018</v>
      </c>
      <c r="D328" s="63">
        <v>2019</v>
      </c>
      <c r="E328" s="63">
        <v>2020</v>
      </c>
      <c r="F328" s="63">
        <v>2021</v>
      </c>
    </row>
    <row r="329" spans="2:6" ht="15.75" thickBot="1" x14ac:dyDescent="0.3">
      <c r="B329" s="999"/>
      <c r="C329" s="64" t="s">
        <v>10</v>
      </c>
      <c r="D329" s="64" t="s">
        <v>11</v>
      </c>
      <c r="E329" s="64" t="s">
        <v>11</v>
      </c>
      <c r="F329" s="64" t="s">
        <v>11</v>
      </c>
    </row>
    <row r="330" spans="2:6" ht="15.75" thickBot="1" x14ac:dyDescent="0.3">
      <c r="B330" s="160" t="s">
        <v>16</v>
      </c>
      <c r="C330" s="1238" t="s">
        <v>347</v>
      </c>
      <c r="D330" s="1239"/>
      <c r="E330" s="1239"/>
      <c r="F330" s="1240"/>
    </row>
    <row r="331" spans="2:6" ht="15.75" thickBot="1" x14ac:dyDescent="0.3">
      <c r="B331" s="62" t="s">
        <v>17</v>
      </c>
      <c r="C331" s="1238" t="s">
        <v>347</v>
      </c>
      <c r="D331" s="1239"/>
      <c r="E331" s="1239"/>
      <c r="F331" s="1240"/>
    </row>
    <row r="332" spans="2:6" ht="15.75" thickBot="1" x14ac:dyDescent="0.3">
      <c r="B332" s="62" t="s">
        <v>18</v>
      </c>
      <c r="C332" s="995" t="s">
        <v>348</v>
      </c>
      <c r="D332" s="996"/>
      <c r="E332" s="996"/>
      <c r="F332" s="997"/>
    </row>
    <row r="333" spans="2:6" x14ac:dyDescent="0.25">
      <c r="B333" s="998"/>
      <c r="C333" s="63">
        <v>2018</v>
      </c>
      <c r="D333" s="63">
        <v>2019</v>
      </c>
      <c r="E333" s="63">
        <v>2020</v>
      </c>
      <c r="F333" s="63">
        <v>2021</v>
      </c>
    </row>
    <row r="334" spans="2:6" ht="15.75" thickBot="1" x14ac:dyDescent="0.3">
      <c r="B334" s="999"/>
      <c r="C334" s="64" t="s">
        <v>10</v>
      </c>
      <c r="D334" s="64" t="s">
        <v>11</v>
      </c>
      <c r="E334" s="64" t="s">
        <v>11</v>
      </c>
      <c r="F334" s="64" t="s">
        <v>11</v>
      </c>
    </row>
    <row r="335" spans="2:6" ht="15.75" thickBot="1" x14ac:dyDescent="0.3">
      <c r="B335" s="62" t="s">
        <v>19</v>
      </c>
      <c r="C335" s="161">
        <v>3</v>
      </c>
      <c r="D335" s="203">
        <v>3</v>
      </c>
      <c r="E335" s="203">
        <v>3</v>
      </c>
      <c r="F335" s="203">
        <v>3</v>
      </c>
    </row>
    <row r="336" spans="2:6" ht="15.75" thickBot="1" x14ac:dyDescent="0.3">
      <c r="B336" s="62" t="s">
        <v>20</v>
      </c>
      <c r="C336" s="161">
        <v>4700</v>
      </c>
      <c r="D336" s="161">
        <v>5996.1090000000004</v>
      </c>
      <c r="E336" s="161">
        <v>5996.1090000000004</v>
      </c>
      <c r="F336" s="161">
        <v>5996.1090000000004</v>
      </c>
    </row>
    <row r="337" spans="2:6" ht="30.75" thickBot="1" x14ac:dyDescent="0.3">
      <c r="B337" s="62" t="s">
        <v>21</v>
      </c>
      <c r="C337" s="161">
        <f>C336/C335</f>
        <v>1566.6666666666667</v>
      </c>
      <c r="D337" s="161">
        <f t="shared" ref="D337:F337" si="20">D336/D335</f>
        <v>1998.7030000000002</v>
      </c>
      <c r="E337" s="161">
        <f t="shared" si="20"/>
        <v>1998.7030000000002</v>
      </c>
      <c r="F337" s="161">
        <f t="shared" si="20"/>
        <v>1998.7030000000002</v>
      </c>
    </row>
    <row r="338" spans="2:6" ht="15.75" thickBot="1" x14ac:dyDescent="0.3">
      <c r="B338" s="62" t="s">
        <v>22</v>
      </c>
      <c r="C338" s="145"/>
      <c r="D338" s="162">
        <f>D335/C335-1</f>
        <v>0</v>
      </c>
      <c r="E338" s="162">
        <f t="shared" ref="E338:F340" si="21">E335/D335-1</f>
        <v>0</v>
      </c>
      <c r="F338" s="162">
        <f t="shared" si="21"/>
        <v>0</v>
      </c>
    </row>
    <row r="339" spans="2:6" ht="30.75" thickBot="1" x14ac:dyDescent="0.3">
      <c r="B339" s="62" t="s">
        <v>24</v>
      </c>
      <c r="C339" s="145"/>
      <c r="D339" s="162">
        <f>D336/C336-1</f>
        <v>0.27576787234042555</v>
      </c>
      <c r="E339" s="162">
        <f t="shared" si="21"/>
        <v>0</v>
      </c>
      <c r="F339" s="162">
        <f t="shared" si="21"/>
        <v>0</v>
      </c>
    </row>
    <row r="340" spans="2:6" ht="30.75" thickBot="1" x14ac:dyDescent="0.3">
      <c r="B340" s="62" t="s">
        <v>25</v>
      </c>
      <c r="C340" s="145"/>
      <c r="D340" s="162">
        <f>D337/C337-1</f>
        <v>0.27576787234042555</v>
      </c>
      <c r="E340" s="162">
        <f t="shared" si="21"/>
        <v>0</v>
      </c>
      <c r="F340" s="162">
        <f t="shared" si="21"/>
        <v>0</v>
      </c>
    </row>
    <row r="341" spans="2:6" x14ac:dyDescent="0.25">
      <c r="B341" s="998"/>
      <c r="C341" s="63">
        <v>2018</v>
      </c>
      <c r="D341" s="63">
        <v>2019</v>
      </c>
      <c r="E341" s="63">
        <v>2020</v>
      </c>
      <c r="F341" s="63">
        <v>2021</v>
      </c>
    </row>
    <row r="342" spans="2:6" ht="15.75" thickBot="1" x14ac:dyDescent="0.3">
      <c r="B342" s="999"/>
      <c r="C342" s="64" t="s">
        <v>10</v>
      </c>
      <c r="D342" s="64" t="s">
        <v>11</v>
      </c>
      <c r="E342" s="64" t="s">
        <v>11</v>
      </c>
      <c r="F342" s="64" t="s">
        <v>11</v>
      </c>
    </row>
    <row r="343" spans="2:6" ht="15.75" thickBot="1" x14ac:dyDescent="0.3">
      <c r="B343" s="1000" t="s">
        <v>794</v>
      </c>
      <c r="C343" s="1001"/>
      <c r="D343" s="1001"/>
      <c r="E343" s="1001"/>
      <c r="F343" s="1002"/>
    </row>
    <row r="344" spans="2:6" x14ac:dyDescent="0.25">
      <c r="B344" s="998"/>
      <c r="C344" s="63">
        <v>2018</v>
      </c>
      <c r="D344" s="63">
        <v>2019</v>
      </c>
      <c r="E344" s="63">
        <v>2020</v>
      </c>
      <c r="F344" s="63">
        <v>2021</v>
      </c>
    </row>
    <row r="345" spans="2:6" ht="15.75" thickBot="1" x14ac:dyDescent="0.3">
      <c r="B345" s="999"/>
      <c r="C345" s="64" t="s">
        <v>10</v>
      </c>
      <c r="D345" s="64" t="s">
        <v>11</v>
      </c>
      <c r="E345" s="64" t="s">
        <v>11</v>
      </c>
      <c r="F345" s="64" t="s">
        <v>11</v>
      </c>
    </row>
    <row r="346" spans="2:6" ht="15.75" thickBot="1" x14ac:dyDescent="0.3">
      <c r="B346" s="65" t="s">
        <v>26</v>
      </c>
      <c r="C346" s="164">
        <v>3213.5</v>
      </c>
      <c r="D346" s="164">
        <v>3860</v>
      </c>
      <c r="E346" s="164">
        <v>3860</v>
      </c>
      <c r="F346" s="164">
        <v>3860</v>
      </c>
    </row>
    <row r="347" spans="2:6" ht="30.75" thickBot="1" x14ac:dyDescent="0.3">
      <c r="B347" s="65" t="s">
        <v>28</v>
      </c>
      <c r="C347" s="164">
        <v>486.5</v>
      </c>
      <c r="D347" s="164">
        <v>570</v>
      </c>
      <c r="E347" s="164">
        <v>570</v>
      </c>
      <c r="F347" s="164">
        <v>570</v>
      </c>
    </row>
    <row r="348" spans="2:6" ht="30.75" thickBot="1" x14ac:dyDescent="0.3">
      <c r="B348" s="65" t="s">
        <v>30</v>
      </c>
      <c r="C348" s="165">
        <v>1000</v>
      </c>
      <c r="D348" s="164">
        <f>(421600+1144509)/1000</f>
        <v>1566.1089999999999</v>
      </c>
      <c r="E348" s="164">
        <f>(421600+1144509)/1000</f>
        <v>1566.1089999999999</v>
      </c>
      <c r="F348" s="164">
        <f>(421600+1144509)/1000</f>
        <v>1566.1089999999999</v>
      </c>
    </row>
    <row r="349" spans="2:6" ht="15.75" thickBot="1" x14ac:dyDescent="0.3">
      <c r="B349" s="65" t="s">
        <v>32</v>
      </c>
      <c r="C349" s="165">
        <v>0</v>
      </c>
      <c r="D349" s="164">
        <v>0</v>
      </c>
      <c r="E349" s="164">
        <v>0</v>
      </c>
      <c r="F349" s="164">
        <v>0</v>
      </c>
    </row>
    <row r="350" spans="2:6" ht="30.75" thickBot="1" x14ac:dyDescent="0.3">
      <c r="B350" s="65" t="s">
        <v>34</v>
      </c>
      <c r="C350" s="165"/>
      <c r="D350" s="164"/>
      <c r="E350" s="164"/>
      <c r="F350" s="164"/>
    </row>
    <row r="351" spans="2:6" ht="15.75" thickBot="1" x14ac:dyDescent="0.3">
      <c r="B351" s="65" t="s">
        <v>36</v>
      </c>
      <c r="C351" s="165"/>
      <c r="D351" s="164"/>
      <c r="E351" s="164"/>
      <c r="F351" s="164"/>
    </row>
    <row r="352" spans="2:6" ht="30.75" thickBot="1" x14ac:dyDescent="0.3">
      <c r="B352" s="65" t="s">
        <v>38</v>
      </c>
      <c r="C352" s="165"/>
      <c r="D352" s="164"/>
      <c r="E352" s="164"/>
      <c r="F352" s="164"/>
    </row>
    <row r="353" spans="2:6" ht="45.75" thickBot="1" x14ac:dyDescent="0.3">
      <c r="B353" s="204" t="s">
        <v>71</v>
      </c>
      <c r="C353" s="219">
        <f>C352+C350+C351+C349+C348+C347+C346</f>
        <v>4700</v>
      </c>
      <c r="D353" s="219">
        <f>D352+D350+D351+D349+D348+D347+D346</f>
        <v>5996.1090000000004</v>
      </c>
      <c r="E353" s="219">
        <f>E352+E350+E351+E349+E348+E347+E346</f>
        <v>5996.1090000000004</v>
      </c>
      <c r="F353" s="219">
        <f>F352+F350+F351+F349+F348+F347+F346</f>
        <v>5996.1090000000004</v>
      </c>
    </row>
    <row r="354" spans="2:6" x14ac:dyDescent="0.25">
      <c r="B354" s="1015" t="s">
        <v>72</v>
      </c>
      <c r="C354" s="1037"/>
      <c r="D354" s="1037"/>
      <c r="E354" s="1037"/>
      <c r="F354" s="1038"/>
    </row>
    <row r="355" spans="2:6" x14ac:dyDescent="0.25">
      <c r="B355" s="1016"/>
      <c r="C355" s="1040"/>
      <c r="D355" s="1040"/>
      <c r="E355" s="1040"/>
      <c r="F355" s="1041"/>
    </row>
    <row r="356" spans="2:6" ht="15.75" thickBot="1" x14ac:dyDescent="0.3">
      <c r="B356" s="1017"/>
      <c r="C356" s="1043"/>
      <c r="D356" s="1043"/>
      <c r="E356" s="1043"/>
      <c r="F356" s="1044"/>
    </row>
    <row r="357" spans="2:6" ht="15.75" thickBot="1" x14ac:dyDescent="0.3">
      <c r="B357" s="166" t="s">
        <v>41</v>
      </c>
      <c r="C357" s="212"/>
      <c r="D357" s="212"/>
      <c r="E357" s="212"/>
      <c r="F357" s="212"/>
    </row>
    <row r="358" spans="2:6" ht="15.75" thickBot="1" x14ac:dyDescent="0.3">
      <c r="B358" s="160" t="s">
        <v>42</v>
      </c>
      <c r="C358" s="1238" t="s">
        <v>349</v>
      </c>
      <c r="D358" s="1239"/>
      <c r="E358" s="1239"/>
      <c r="F358" s="1240"/>
    </row>
    <row r="359" spans="2:6" ht="15.75" thickBot="1" x14ac:dyDescent="0.3">
      <c r="B359" s="62" t="s">
        <v>17</v>
      </c>
      <c r="C359" s="1238" t="s">
        <v>349</v>
      </c>
      <c r="D359" s="1239"/>
      <c r="E359" s="1239"/>
      <c r="F359" s="1240"/>
    </row>
    <row r="360" spans="2:6" ht="15.75" thickBot="1" x14ac:dyDescent="0.3">
      <c r="B360" s="62" t="s">
        <v>18</v>
      </c>
      <c r="C360" s="995" t="s">
        <v>348</v>
      </c>
      <c r="D360" s="996"/>
      <c r="E360" s="996"/>
      <c r="F360" s="997"/>
    </row>
    <row r="361" spans="2:6" x14ac:dyDescent="0.25">
      <c r="B361" s="998"/>
      <c r="C361" s="63">
        <v>2018</v>
      </c>
      <c r="D361" s="63">
        <v>2019</v>
      </c>
      <c r="E361" s="63">
        <v>2020</v>
      </c>
      <c r="F361" s="63">
        <v>2021</v>
      </c>
    </row>
    <row r="362" spans="2:6" ht="15.75" thickBot="1" x14ac:dyDescent="0.3">
      <c r="B362" s="999"/>
      <c r="C362" s="64" t="s">
        <v>10</v>
      </c>
      <c r="D362" s="64" t="s">
        <v>11</v>
      </c>
      <c r="E362" s="64" t="s">
        <v>11</v>
      </c>
      <c r="F362" s="64" t="s">
        <v>11</v>
      </c>
    </row>
    <row r="363" spans="2:6" ht="15.75" thickBot="1" x14ac:dyDescent="0.3">
      <c r="B363" s="62" t="s">
        <v>19</v>
      </c>
      <c r="C363" s="161">
        <v>3</v>
      </c>
      <c r="D363" s="203">
        <v>3</v>
      </c>
      <c r="E363" s="203">
        <v>3</v>
      </c>
      <c r="F363" s="203">
        <v>3</v>
      </c>
    </row>
    <row r="364" spans="2:6" ht="15.75" thickBot="1" x14ac:dyDescent="0.3">
      <c r="B364" s="62" t="s">
        <v>20</v>
      </c>
      <c r="C364" s="161">
        <v>4700</v>
      </c>
      <c r="D364" s="161">
        <v>6774.51</v>
      </c>
      <c r="E364" s="161">
        <v>6774.51</v>
      </c>
      <c r="F364" s="161">
        <v>6774.51</v>
      </c>
    </row>
    <row r="365" spans="2:6" ht="30.75" thickBot="1" x14ac:dyDescent="0.3">
      <c r="B365" s="62" t="s">
        <v>21</v>
      </c>
      <c r="C365" s="161">
        <f>C364/C363</f>
        <v>1566.6666666666667</v>
      </c>
      <c r="D365" s="161">
        <f t="shared" ref="D365:F365" si="22">D364/D363</f>
        <v>2258.17</v>
      </c>
      <c r="E365" s="161">
        <f t="shared" si="22"/>
        <v>2258.17</v>
      </c>
      <c r="F365" s="161">
        <f t="shared" si="22"/>
        <v>2258.17</v>
      </c>
    </row>
    <row r="366" spans="2:6" ht="15.75" thickBot="1" x14ac:dyDescent="0.3">
      <c r="B366" s="62" t="s">
        <v>22</v>
      </c>
      <c r="C366" s="145"/>
      <c r="D366" s="162">
        <f>D363/C363-1</f>
        <v>0</v>
      </c>
      <c r="E366" s="162">
        <f t="shared" ref="E366:F368" si="23">E363/D363-1</f>
        <v>0</v>
      </c>
      <c r="F366" s="162">
        <f t="shared" si="23"/>
        <v>0</v>
      </c>
    </row>
    <row r="367" spans="2:6" ht="30.75" thickBot="1" x14ac:dyDescent="0.3">
      <c r="B367" s="62" t="s">
        <v>24</v>
      </c>
      <c r="C367" s="145"/>
      <c r="D367" s="162">
        <f>D364/C364-1</f>
        <v>0.44138510638297879</v>
      </c>
      <c r="E367" s="162">
        <f t="shared" si="23"/>
        <v>0</v>
      </c>
      <c r="F367" s="162">
        <f t="shared" si="23"/>
        <v>0</v>
      </c>
    </row>
    <row r="368" spans="2:6" ht="30.75" thickBot="1" x14ac:dyDescent="0.3">
      <c r="B368" s="62" t="s">
        <v>25</v>
      </c>
      <c r="C368" s="145"/>
      <c r="D368" s="162">
        <f>D365/C365-1</f>
        <v>0.44138510638297879</v>
      </c>
      <c r="E368" s="162">
        <f t="shared" si="23"/>
        <v>0</v>
      </c>
      <c r="F368" s="162">
        <f t="shared" si="23"/>
        <v>0</v>
      </c>
    </row>
    <row r="369" spans="2:6" x14ac:dyDescent="0.25">
      <c r="B369" s="998"/>
      <c r="C369" s="63">
        <v>2018</v>
      </c>
      <c r="D369" s="63">
        <v>2019</v>
      </c>
      <c r="E369" s="63">
        <v>2020</v>
      </c>
      <c r="F369" s="63">
        <v>2021</v>
      </c>
    </row>
    <row r="370" spans="2:6" ht="15.75" thickBot="1" x14ac:dyDescent="0.3">
      <c r="B370" s="999"/>
      <c r="C370" s="64" t="s">
        <v>10</v>
      </c>
      <c r="D370" s="64" t="s">
        <v>11</v>
      </c>
      <c r="E370" s="64" t="s">
        <v>11</v>
      </c>
      <c r="F370" s="64" t="s">
        <v>11</v>
      </c>
    </row>
    <row r="371" spans="2:6" ht="15.75" thickBot="1" x14ac:dyDescent="0.3">
      <c r="B371" s="1000" t="s">
        <v>797</v>
      </c>
      <c r="C371" s="1001"/>
      <c r="D371" s="1001"/>
      <c r="E371" s="1001"/>
      <c r="F371" s="1002"/>
    </row>
    <row r="372" spans="2:6" x14ac:dyDescent="0.25">
      <c r="B372" s="998"/>
      <c r="C372" s="63">
        <v>2018</v>
      </c>
      <c r="D372" s="63">
        <v>2019</v>
      </c>
      <c r="E372" s="63">
        <v>2020</v>
      </c>
      <c r="F372" s="63">
        <v>2021</v>
      </c>
    </row>
    <row r="373" spans="2:6" ht="15.75" thickBot="1" x14ac:dyDescent="0.3">
      <c r="B373" s="999"/>
      <c r="C373" s="64" t="s">
        <v>10</v>
      </c>
      <c r="D373" s="64" t="s">
        <v>11</v>
      </c>
      <c r="E373" s="64" t="s">
        <v>11</v>
      </c>
      <c r="F373" s="64" t="s">
        <v>11</v>
      </c>
    </row>
    <row r="374" spans="2:6" ht="15.75" thickBot="1" x14ac:dyDescent="0.3">
      <c r="B374" s="65" t="s">
        <v>26</v>
      </c>
      <c r="C374" s="164">
        <v>3213.5</v>
      </c>
      <c r="D374" s="164">
        <v>3860</v>
      </c>
      <c r="E374" s="164">
        <v>3860</v>
      </c>
      <c r="F374" s="164">
        <v>3860</v>
      </c>
    </row>
    <row r="375" spans="2:6" ht="30.75" thickBot="1" x14ac:dyDescent="0.3">
      <c r="B375" s="65" t="s">
        <v>28</v>
      </c>
      <c r="C375" s="164">
        <v>486.5</v>
      </c>
      <c r="D375" s="164">
        <v>570</v>
      </c>
      <c r="E375" s="164">
        <v>570</v>
      </c>
      <c r="F375" s="164">
        <v>570</v>
      </c>
    </row>
    <row r="376" spans="2:6" ht="30.75" thickBot="1" x14ac:dyDescent="0.3">
      <c r="B376" s="65" t="s">
        <v>30</v>
      </c>
      <c r="C376" s="165">
        <v>1000</v>
      </c>
      <c r="D376" s="164">
        <f>(1200000+1144510)/1000</f>
        <v>2344.5100000000002</v>
      </c>
      <c r="E376" s="164">
        <f>(1200000+1144510)/1000</f>
        <v>2344.5100000000002</v>
      </c>
      <c r="F376" s="164">
        <f>(1200000+1144510)/1000</f>
        <v>2344.5100000000002</v>
      </c>
    </row>
    <row r="377" spans="2:6" ht="15.75" thickBot="1" x14ac:dyDescent="0.3">
      <c r="B377" s="65" t="s">
        <v>32</v>
      </c>
      <c r="C377" s="165">
        <v>0</v>
      </c>
      <c r="D377" s="164">
        <v>0</v>
      </c>
      <c r="E377" s="164">
        <v>0</v>
      </c>
      <c r="F377" s="164">
        <v>0</v>
      </c>
    </row>
    <row r="378" spans="2:6" ht="30.75" thickBot="1" x14ac:dyDescent="0.3">
      <c r="B378" s="65" t="s">
        <v>34</v>
      </c>
      <c r="C378" s="165">
        <v>0</v>
      </c>
      <c r="D378" s="164">
        <v>0</v>
      </c>
      <c r="E378" s="164">
        <v>0</v>
      </c>
      <c r="F378" s="164">
        <v>0</v>
      </c>
    </row>
    <row r="379" spans="2:6" ht="15.75" thickBot="1" x14ac:dyDescent="0.3">
      <c r="B379" s="65" t="s">
        <v>36</v>
      </c>
      <c r="C379" s="165"/>
      <c r="D379" s="164"/>
      <c r="E379" s="164"/>
      <c r="F379" s="164"/>
    </row>
    <row r="380" spans="2:6" ht="30.75" thickBot="1" x14ac:dyDescent="0.3">
      <c r="B380" s="65" t="s">
        <v>38</v>
      </c>
      <c r="C380" s="165"/>
      <c r="D380" s="164"/>
      <c r="E380" s="164"/>
      <c r="F380" s="164"/>
    </row>
    <row r="381" spans="2:6" ht="45.75" thickBot="1" x14ac:dyDescent="0.3">
      <c r="B381" s="204" t="s">
        <v>71</v>
      </c>
      <c r="C381" s="219">
        <f>C380+C378+C379+C377+C376+C375+C374</f>
        <v>4700</v>
      </c>
      <c r="D381" s="219">
        <f>D380+D378+D379+D377+D376+D375+D374</f>
        <v>6774.51</v>
      </c>
      <c r="E381" s="219">
        <f>E380+E378+E379+E377+E376+E375+E374</f>
        <v>6774.51</v>
      </c>
      <c r="F381" s="219">
        <f>F380+F378+F379+F377+F376+F375+F374</f>
        <v>6774.51</v>
      </c>
    </row>
    <row r="382" spans="2:6" x14ac:dyDescent="0.25">
      <c r="B382" s="1015" t="s">
        <v>119</v>
      </c>
      <c r="C382" s="1037"/>
      <c r="D382" s="1037"/>
      <c r="E382" s="1037"/>
      <c r="F382" s="1038"/>
    </row>
    <row r="383" spans="2:6" x14ac:dyDescent="0.25">
      <c r="B383" s="1016"/>
      <c r="C383" s="1040"/>
      <c r="D383" s="1040"/>
      <c r="E383" s="1040"/>
      <c r="F383" s="1041"/>
    </row>
    <row r="384" spans="2:6" ht="15.75" thickBot="1" x14ac:dyDescent="0.3">
      <c r="B384" s="1017"/>
      <c r="C384" s="1043"/>
      <c r="D384" s="1043"/>
      <c r="E384" s="1043"/>
      <c r="F384" s="1044"/>
    </row>
    <row r="385" spans="2:6" ht="15.75" thickBot="1" x14ac:dyDescent="0.3">
      <c r="B385" s="166" t="s">
        <v>41</v>
      </c>
      <c r="C385" s="212"/>
      <c r="D385" s="212"/>
      <c r="E385" s="212"/>
      <c r="F385" s="212"/>
    </row>
    <row r="386" spans="2:6" ht="15.75" thickBot="1" x14ac:dyDescent="0.3">
      <c r="B386" s="1229" t="s">
        <v>63</v>
      </c>
      <c r="C386" s="1230"/>
      <c r="D386" s="1230"/>
      <c r="E386" s="1230"/>
      <c r="F386" s="1231"/>
    </row>
    <row r="387" spans="2:6" ht="15.75" thickBot="1" x14ac:dyDescent="0.3">
      <c r="B387" s="1229" t="s">
        <v>56</v>
      </c>
      <c r="C387" s="1230"/>
      <c r="D387" s="1230"/>
      <c r="E387" s="1230"/>
      <c r="F387" s="1231"/>
    </row>
    <row r="388" spans="2:6" ht="30.75" thickBot="1" x14ac:dyDescent="0.3">
      <c r="B388" s="229" t="s">
        <v>61</v>
      </c>
      <c r="C388" s="1074" t="s">
        <v>350</v>
      </c>
      <c r="D388" s="1075"/>
      <c r="E388" s="1075"/>
      <c r="F388" s="1076"/>
    </row>
    <row r="389" spans="2:6" ht="30.75" thickBot="1" x14ac:dyDescent="0.3">
      <c r="B389" s="230" t="s">
        <v>304</v>
      </c>
      <c r="C389" s="1069" t="s">
        <v>351</v>
      </c>
      <c r="D389" s="1070"/>
      <c r="E389" s="1070"/>
      <c r="F389" s="1071"/>
    </row>
    <row r="390" spans="2:6" ht="15.75" customHeight="1" thickBot="1" x14ac:dyDescent="0.3">
      <c r="B390" s="229" t="s">
        <v>17</v>
      </c>
      <c r="C390" s="1069" t="s">
        <v>351</v>
      </c>
      <c r="D390" s="1070"/>
      <c r="E390" s="1070"/>
      <c r="F390" s="1071"/>
    </row>
    <row r="391" spans="2:6" ht="15.75" thickBot="1" x14ac:dyDescent="0.3">
      <c r="B391" s="229" t="s">
        <v>18</v>
      </c>
      <c r="C391" s="1235" t="s">
        <v>57</v>
      </c>
      <c r="D391" s="1236"/>
      <c r="E391" s="1236"/>
      <c r="F391" s="1237"/>
    </row>
    <row r="392" spans="2:6" x14ac:dyDescent="0.25">
      <c r="B392" s="1206"/>
      <c r="C392" s="231">
        <v>2018</v>
      </c>
      <c r="D392" s="231">
        <v>2019</v>
      </c>
      <c r="E392" s="231">
        <v>2020</v>
      </c>
      <c r="F392" s="231">
        <v>2021</v>
      </c>
    </row>
    <row r="393" spans="2:6" ht="15.75" thickBot="1" x14ac:dyDescent="0.3">
      <c r="B393" s="1207"/>
      <c r="C393" s="232" t="s">
        <v>10</v>
      </c>
      <c r="D393" s="232" t="s">
        <v>11</v>
      </c>
      <c r="E393" s="232" t="s">
        <v>11</v>
      </c>
      <c r="F393" s="232" t="s">
        <v>11</v>
      </c>
    </row>
    <row r="394" spans="2:6" ht="15.75" thickBot="1" x14ac:dyDescent="0.3">
      <c r="B394" s="229" t="s">
        <v>19</v>
      </c>
      <c r="C394" s="194">
        <v>0</v>
      </c>
      <c r="D394" s="194">
        <v>67</v>
      </c>
      <c r="E394" s="194">
        <v>67</v>
      </c>
      <c r="F394" s="194">
        <v>67</v>
      </c>
    </row>
    <row r="395" spans="2:6" ht="15.75" thickBot="1" x14ac:dyDescent="0.3">
      <c r="B395" s="229" t="s">
        <v>20</v>
      </c>
      <c r="C395" s="194">
        <v>0</v>
      </c>
      <c r="D395" s="194">
        <v>200</v>
      </c>
      <c r="E395" s="194">
        <v>200</v>
      </c>
      <c r="F395" s="194">
        <v>200</v>
      </c>
    </row>
    <row r="396" spans="2:6" ht="30.75" thickBot="1" x14ac:dyDescent="0.3">
      <c r="B396" s="229" t="s">
        <v>21</v>
      </c>
      <c r="C396" s="194">
        <v>0</v>
      </c>
      <c r="D396" s="194">
        <f t="shared" ref="D396:F396" si="24">D395/D394</f>
        <v>2.9850746268656718</v>
      </c>
      <c r="E396" s="194">
        <f t="shared" si="24"/>
        <v>2.9850746268656718</v>
      </c>
      <c r="F396" s="194">
        <f t="shared" si="24"/>
        <v>2.9850746268656718</v>
      </c>
    </row>
    <row r="397" spans="2:6" ht="15.75" thickBot="1" x14ac:dyDescent="0.3">
      <c r="B397" s="229" t="s">
        <v>22</v>
      </c>
      <c r="C397" s="233" t="s">
        <v>23</v>
      </c>
      <c r="D397" s="234"/>
      <c r="E397" s="234">
        <f t="shared" ref="E397:F399" si="25">E394/D394-1</f>
        <v>0</v>
      </c>
      <c r="F397" s="234">
        <f t="shared" si="25"/>
        <v>0</v>
      </c>
    </row>
    <row r="398" spans="2:6" ht="30.75" thickBot="1" x14ac:dyDescent="0.3">
      <c r="B398" s="229" t="s">
        <v>24</v>
      </c>
      <c r="C398" s="233" t="s">
        <v>23</v>
      </c>
      <c r="D398" s="234"/>
      <c r="E398" s="234">
        <f t="shared" si="25"/>
        <v>0</v>
      </c>
      <c r="F398" s="234">
        <f t="shared" si="25"/>
        <v>0</v>
      </c>
    </row>
    <row r="399" spans="2:6" ht="30.75" thickBot="1" x14ac:dyDescent="0.3">
      <c r="B399" s="229" t="s">
        <v>25</v>
      </c>
      <c r="C399" s="233" t="s">
        <v>23</v>
      </c>
      <c r="D399" s="234"/>
      <c r="E399" s="234">
        <f t="shared" si="25"/>
        <v>0</v>
      </c>
      <c r="F399" s="234">
        <f t="shared" si="25"/>
        <v>0</v>
      </c>
    </row>
    <row r="400" spans="2:6" ht="15.75" thickBot="1" x14ac:dyDescent="0.3">
      <c r="B400" s="1203" t="s">
        <v>787</v>
      </c>
      <c r="C400" s="1204"/>
      <c r="D400" s="1204"/>
      <c r="E400" s="1204"/>
      <c r="F400" s="1205"/>
    </row>
    <row r="401" spans="2:6" x14ac:dyDescent="0.25">
      <c r="B401" s="1206"/>
      <c r="C401" s="231">
        <v>2018</v>
      </c>
      <c r="D401" s="231">
        <v>2019</v>
      </c>
      <c r="E401" s="231">
        <v>2020</v>
      </c>
      <c r="F401" s="231">
        <v>2021</v>
      </c>
    </row>
    <row r="402" spans="2:6" ht="15.75" thickBot="1" x14ac:dyDescent="0.3">
      <c r="B402" s="1207"/>
      <c r="C402" s="232" t="s">
        <v>10</v>
      </c>
      <c r="D402" s="232" t="s">
        <v>11</v>
      </c>
      <c r="E402" s="232" t="s">
        <v>11</v>
      </c>
      <c r="F402" s="232" t="s">
        <v>11</v>
      </c>
    </row>
    <row r="403" spans="2:6" ht="30.75" thickBot="1" x14ac:dyDescent="0.3">
      <c r="B403" s="235" t="s">
        <v>58</v>
      </c>
      <c r="C403" s="236">
        <v>0</v>
      </c>
      <c r="D403" s="236">
        <v>0</v>
      </c>
      <c r="E403" s="236">
        <v>0</v>
      </c>
      <c r="F403" s="236">
        <v>0</v>
      </c>
    </row>
    <row r="404" spans="2:6" ht="15.75" thickBot="1" x14ac:dyDescent="0.3">
      <c r="B404" s="235" t="s">
        <v>59</v>
      </c>
      <c r="C404" s="201">
        <v>0</v>
      </c>
      <c r="D404" s="236">
        <f>(600000-400000)/1000</f>
        <v>200</v>
      </c>
      <c r="E404" s="236">
        <f>(600000-400000)/1000</f>
        <v>200</v>
      </c>
      <c r="F404" s="236">
        <f>(600000-400000)/1000</f>
        <v>200</v>
      </c>
    </row>
    <row r="405" spans="2:6" ht="30.75" thickBot="1" x14ac:dyDescent="0.3">
      <c r="B405" s="199" t="s">
        <v>52</v>
      </c>
      <c r="C405" s="201">
        <f>C404+C403</f>
        <v>0</v>
      </c>
      <c r="D405" s="201">
        <f t="shared" ref="D405:F405" si="26">D404+D403</f>
        <v>200</v>
      </c>
      <c r="E405" s="201">
        <f t="shared" si="26"/>
        <v>200</v>
      </c>
      <c r="F405" s="201">
        <f t="shared" si="26"/>
        <v>200</v>
      </c>
    </row>
    <row r="406" spans="2:6" x14ac:dyDescent="0.25">
      <c r="B406" s="1208" t="s">
        <v>65</v>
      </c>
      <c r="C406" s="1211"/>
      <c r="D406" s="1212"/>
      <c r="E406" s="1212"/>
      <c r="F406" s="1213"/>
    </row>
    <row r="407" spans="2:6" x14ac:dyDescent="0.25">
      <c r="B407" s="1209"/>
      <c r="C407" s="1214"/>
      <c r="D407" s="1215"/>
      <c r="E407" s="1215"/>
      <c r="F407" s="1216"/>
    </row>
    <row r="408" spans="2:6" ht="15.75" thickBot="1" x14ac:dyDescent="0.3">
      <c r="B408" s="1210"/>
      <c r="C408" s="1217"/>
      <c r="D408" s="1218"/>
      <c r="E408" s="1218"/>
      <c r="F408" s="1219"/>
    </row>
    <row r="409" spans="2:6" ht="15.75" thickBot="1" x14ac:dyDescent="0.3">
      <c r="B409" s="1229" t="s">
        <v>63</v>
      </c>
      <c r="C409" s="1230"/>
      <c r="D409" s="1230"/>
      <c r="E409" s="1230"/>
      <c r="F409" s="1231"/>
    </row>
    <row r="410" spans="2:6" ht="15.75" thickBot="1" x14ac:dyDescent="0.3">
      <c r="B410" s="1229" t="s">
        <v>336</v>
      </c>
      <c r="C410" s="1230"/>
      <c r="D410" s="1230"/>
      <c r="E410" s="1230"/>
      <c r="F410" s="1231"/>
    </row>
    <row r="411" spans="2:6" ht="30.75" thickBot="1" x14ac:dyDescent="0.3">
      <c r="B411" s="229" t="s">
        <v>61</v>
      </c>
      <c r="C411" s="1074" t="s">
        <v>352</v>
      </c>
      <c r="D411" s="1075"/>
      <c r="E411" s="1075"/>
      <c r="F411" s="1076"/>
    </row>
    <row r="412" spans="2:6" ht="47.25" customHeight="1" thickBot="1" x14ac:dyDescent="0.3">
      <c r="B412" s="230" t="s">
        <v>66</v>
      </c>
      <c r="C412" s="1232" t="s">
        <v>353</v>
      </c>
      <c r="D412" s="1233"/>
      <c r="E412" s="1233"/>
      <c r="F412" s="1234"/>
    </row>
    <row r="413" spans="2:6" ht="30.75" customHeight="1" thickBot="1" x14ac:dyDescent="0.3">
      <c r="B413" s="229" t="s">
        <v>17</v>
      </c>
      <c r="C413" s="1232" t="s">
        <v>353</v>
      </c>
      <c r="D413" s="1233"/>
      <c r="E413" s="1233"/>
      <c r="F413" s="1234"/>
    </row>
    <row r="414" spans="2:6" ht="15.75" thickBot="1" x14ac:dyDescent="0.3">
      <c r="B414" s="229" t="s">
        <v>18</v>
      </c>
      <c r="C414" s="1235" t="s">
        <v>57</v>
      </c>
      <c r="D414" s="1236"/>
      <c r="E414" s="1236"/>
      <c r="F414" s="1237"/>
    </row>
    <row r="415" spans="2:6" x14ac:dyDescent="0.25">
      <c r="B415" s="1206"/>
      <c r="C415" s="231">
        <v>2018</v>
      </c>
      <c r="D415" s="231">
        <v>2019</v>
      </c>
      <c r="E415" s="231">
        <v>2020</v>
      </c>
      <c r="F415" s="231">
        <v>2021</v>
      </c>
    </row>
    <row r="416" spans="2:6" ht="15.75" thickBot="1" x14ac:dyDescent="0.3">
      <c r="B416" s="1207"/>
      <c r="C416" s="232" t="s">
        <v>10</v>
      </c>
      <c r="D416" s="232" t="s">
        <v>11</v>
      </c>
      <c r="E416" s="232" t="s">
        <v>11</v>
      </c>
      <c r="F416" s="232" t="s">
        <v>11</v>
      </c>
    </row>
    <row r="417" spans="2:6" ht="15.75" thickBot="1" x14ac:dyDescent="0.3">
      <c r="B417" s="229" t="s">
        <v>19</v>
      </c>
      <c r="C417" s="194">
        <v>0</v>
      </c>
      <c r="D417" s="194">
        <v>0</v>
      </c>
      <c r="E417" s="194">
        <v>0</v>
      </c>
      <c r="F417" s="194">
        <v>0</v>
      </c>
    </row>
    <row r="418" spans="2:6" ht="15.75" thickBot="1" x14ac:dyDescent="0.3">
      <c r="B418" s="229" t="s">
        <v>20</v>
      </c>
      <c r="C418" s="194">
        <v>0</v>
      </c>
      <c r="D418" s="194">
        <v>0</v>
      </c>
      <c r="E418" s="194">
        <v>0</v>
      </c>
      <c r="F418" s="194">
        <v>0</v>
      </c>
    </row>
    <row r="419" spans="2:6" ht="30.75" thickBot="1" x14ac:dyDescent="0.3">
      <c r="B419" s="229" t="s">
        <v>21</v>
      </c>
      <c r="C419" s="194">
        <v>0</v>
      </c>
      <c r="D419" s="194">
        <v>0</v>
      </c>
      <c r="E419" s="194">
        <v>0</v>
      </c>
      <c r="F419" s="194">
        <v>0</v>
      </c>
    </row>
    <row r="420" spans="2:6" ht="15.75" thickBot="1" x14ac:dyDescent="0.3">
      <c r="B420" s="229" t="s">
        <v>22</v>
      </c>
      <c r="C420" s="233" t="s">
        <v>23</v>
      </c>
      <c r="D420" s="233" t="s">
        <v>23</v>
      </c>
      <c r="E420" s="233" t="s">
        <v>23</v>
      </c>
      <c r="F420" s="233" t="s">
        <v>23</v>
      </c>
    </row>
    <row r="421" spans="2:6" ht="30.75" thickBot="1" x14ac:dyDescent="0.3">
      <c r="B421" s="229" t="s">
        <v>24</v>
      </c>
      <c r="C421" s="233" t="s">
        <v>23</v>
      </c>
      <c r="D421" s="233" t="s">
        <v>23</v>
      </c>
      <c r="E421" s="233" t="s">
        <v>23</v>
      </c>
      <c r="F421" s="233" t="s">
        <v>23</v>
      </c>
    </row>
    <row r="422" spans="2:6" ht="30.75" thickBot="1" x14ac:dyDescent="0.3">
      <c r="B422" s="229" t="s">
        <v>25</v>
      </c>
      <c r="C422" s="233" t="s">
        <v>23</v>
      </c>
      <c r="D422" s="233" t="s">
        <v>23</v>
      </c>
      <c r="E422" s="233" t="s">
        <v>23</v>
      </c>
      <c r="F422" s="233" t="s">
        <v>23</v>
      </c>
    </row>
    <row r="423" spans="2:6" ht="15.75" thickBot="1" x14ac:dyDescent="0.3">
      <c r="B423" s="1203" t="s">
        <v>788</v>
      </c>
      <c r="C423" s="1204"/>
      <c r="D423" s="1204"/>
      <c r="E423" s="1204"/>
      <c r="F423" s="1205"/>
    </row>
    <row r="424" spans="2:6" x14ac:dyDescent="0.25">
      <c r="B424" s="1206"/>
      <c r="C424" s="231">
        <v>2018</v>
      </c>
      <c r="D424" s="231">
        <v>2019</v>
      </c>
      <c r="E424" s="231">
        <v>2020</v>
      </c>
      <c r="F424" s="231">
        <v>2021</v>
      </c>
    </row>
    <row r="425" spans="2:6" ht="15.75" thickBot="1" x14ac:dyDescent="0.3">
      <c r="B425" s="1207"/>
      <c r="C425" s="232" t="s">
        <v>10</v>
      </c>
      <c r="D425" s="232" t="s">
        <v>11</v>
      </c>
      <c r="E425" s="232" t="s">
        <v>11</v>
      </c>
      <c r="F425" s="232" t="s">
        <v>11</v>
      </c>
    </row>
    <row r="426" spans="2:6" ht="30.75" thickBot="1" x14ac:dyDescent="0.3">
      <c r="B426" s="235" t="s">
        <v>58</v>
      </c>
      <c r="C426" s="236">
        <v>0</v>
      </c>
      <c r="D426" s="236">
        <v>0</v>
      </c>
      <c r="E426" s="236">
        <v>0</v>
      </c>
      <c r="F426" s="236">
        <v>0</v>
      </c>
    </row>
    <row r="427" spans="2:6" ht="15.75" thickBot="1" x14ac:dyDescent="0.3">
      <c r="B427" s="235" t="s">
        <v>59</v>
      </c>
      <c r="C427" s="201">
        <v>0</v>
      </c>
      <c r="D427" s="236">
        <v>0</v>
      </c>
      <c r="E427" s="236">
        <v>0</v>
      </c>
      <c r="F427" s="236">
        <v>0</v>
      </c>
    </row>
    <row r="428" spans="2:6" ht="30.75" thickBot="1" x14ac:dyDescent="0.3">
      <c r="B428" s="199" t="s">
        <v>54</v>
      </c>
      <c r="C428" s="201">
        <f>C427+C426</f>
        <v>0</v>
      </c>
      <c r="D428" s="201">
        <f t="shared" ref="D428:F428" si="27">D427+D426</f>
        <v>0</v>
      </c>
      <c r="E428" s="201">
        <f t="shared" si="27"/>
        <v>0</v>
      </c>
      <c r="F428" s="201">
        <f t="shared" si="27"/>
        <v>0</v>
      </c>
    </row>
    <row r="429" spans="2:6" x14ac:dyDescent="0.25">
      <c r="B429" s="1208" t="s">
        <v>123</v>
      </c>
      <c r="C429" s="1211"/>
      <c r="D429" s="1212"/>
      <c r="E429" s="1212"/>
      <c r="F429" s="1213"/>
    </row>
    <row r="430" spans="2:6" x14ac:dyDescent="0.25">
      <c r="B430" s="1209"/>
      <c r="C430" s="1214"/>
      <c r="D430" s="1215"/>
      <c r="E430" s="1215"/>
      <c r="F430" s="1216"/>
    </row>
    <row r="431" spans="2:6" ht="15.75" thickBot="1" x14ac:dyDescent="0.3">
      <c r="B431" s="1210"/>
      <c r="C431" s="1217"/>
      <c r="D431" s="1218"/>
      <c r="E431" s="1218"/>
      <c r="F431" s="1219"/>
    </row>
    <row r="432" spans="2:6" ht="15.75" hidden="1" thickBot="1" x14ac:dyDescent="0.3">
      <c r="B432" s="216"/>
      <c r="C432" s="217">
        <f>+C428+C405+C381+C353</f>
        <v>9400</v>
      </c>
      <c r="D432" s="217">
        <f>+D428+D405+D381+D353+D428</f>
        <v>12970.619000000001</v>
      </c>
      <c r="E432" s="217">
        <f>+E428+E405+E381+E353</f>
        <v>12970.619000000001</v>
      </c>
      <c r="F432" s="217">
        <f>+F428+F405+F381+F353</f>
        <v>12970.619000000001</v>
      </c>
    </row>
    <row r="433" spans="2:6" ht="15.75" thickBot="1" x14ac:dyDescent="0.3">
      <c r="B433" s="226"/>
      <c r="C433" s="227"/>
      <c r="D433" s="227"/>
      <c r="E433" s="227"/>
      <c r="F433" s="227"/>
    </row>
    <row r="434" spans="2:6" ht="45.75" thickBot="1" x14ac:dyDescent="0.3">
      <c r="B434" s="158" t="s">
        <v>82</v>
      </c>
      <c r="C434" s="177">
        <f>+C432+C319+C211+C99</f>
        <v>121000</v>
      </c>
      <c r="D434" s="177">
        <f>+D432+D319+D211+D99</f>
        <v>136000</v>
      </c>
      <c r="E434" s="177">
        <f>+E432+E319+E211+E99</f>
        <v>151000</v>
      </c>
      <c r="F434" s="177">
        <f>+F432+F319+F211+F99</f>
        <v>151500</v>
      </c>
    </row>
    <row r="435" spans="2:6" ht="45.75" thickBot="1" x14ac:dyDescent="0.3">
      <c r="B435" s="158" t="s">
        <v>83</v>
      </c>
      <c r="C435" s="177">
        <f>C437+C439+C441+C443+C445+C447+C449+C451+C453</f>
        <v>121000</v>
      </c>
      <c r="D435" s="177">
        <f>D437+D439+D441+D443+D445+D447+D449+D451+D453</f>
        <v>136000</v>
      </c>
      <c r="E435" s="177">
        <v>151000</v>
      </c>
      <c r="F435" s="177">
        <v>151500</v>
      </c>
    </row>
    <row r="436" spans="2:6" ht="45.75" thickBot="1" x14ac:dyDescent="0.3">
      <c r="B436" s="178" t="s">
        <v>84</v>
      </c>
      <c r="C436" s="179"/>
      <c r="D436" s="180">
        <f>D435/C435-1</f>
        <v>0.12396694214876036</v>
      </c>
      <c r="E436" s="180">
        <f t="shared" ref="E436:F436" si="28">E435/D435-1</f>
        <v>0.11029411764705888</v>
      </c>
      <c r="F436" s="180">
        <f t="shared" si="28"/>
        <v>3.3112582781456013E-3</v>
      </c>
    </row>
    <row r="437" spans="2:6" ht="15.75" thickBot="1" x14ac:dyDescent="0.3">
      <c r="B437" s="65" t="s">
        <v>26</v>
      </c>
      <c r="C437" s="164">
        <f>+C374+C346+C284+C258+C232+C199+C173+C147+C121+C64+C38</f>
        <v>32155</v>
      </c>
      <c r="D437" s="164">
        <f>+D374+D346+D284+D258+D232+D199+D173+D147+D121+D64+D38</f>
        <v>38600</v>
      </c>
      <c r="E437" s="164">
        <f>+E374+E346+E284+E258+E232+E199+E173+E147+E121+E64+E38</f>
        <v>38600</v>
      </c>
      <c r="F437" s="164">
        <f>+F374+F346+F284+F258+F232+F199+F173+F147+F121+F64+F38</f>
        <v>38600</v>
      </c>
    </row>
    <row r="438" spans="2:6" ht="15.75" thickBot="1" x14ac:dyDescent="0.3">
      <c r="B438" s="65" t="s">
        <v>85</v>
      </c>
      <c r="C438" s="165"/>
      <c r="D438" s="182">
        <f>D437/C437-1</f>
        <v>0.20043539107448294</v>
      </c>
      <c r="E438" s="182">
        <f t="shared" ref="E438:F438" si="29">E437/D437-1</f>
        <v>0</v>
      </c>
      <c r="F438" s="182">
        <f t="shared" si="29"/>
        <v>0</v>
      </c>
    </row>
    <row r="439" spans="2:6" ht="30.75" thickBot="1" x14ac:dyDescent="0.3">
      <c r="B439" s="65" t="s">
        <v>28</v>
      </c>
      <c r="C439" s="164">
        <f>+C375+C347+C285+C259++C233+C200+C174+C148+C122+C65+C39</f>
        <v>4845</v>
      </c>
      <c r="D439" s="164">
        <f>+D375+D347+D285+D259++D233+D200+D174+D148+D122+D65+D39</f>
        <v>5700</v>
      </c>
      <c r="E439" s="164">
        <f>+E375+E347+E285+E259++E233+E200+E174+E148+E122+E65+E39</f>
        <v>5700</v>
      </c>
      <c r="F439" s="164">
        <f>+F375+F347+F285+F259++F233+F200+F174+F148+F122+F65+F39</f>
        <v>5700</v>
      </c>
    </row>
    <row r="440" spans="2:6" ht="45.75" thickBot="1" x14ac:dyDescent="0.3">
      <c r="B440" s="65" t="s">
        <v>86</v>
      </c>
      <c r="C440" s="165"/>
      <c r="D440" s="182">
        <f>D439/C439-1</f>
        <v>0.17647058823529416</v>
      </c>
      <c r="E440" s="182">
        <f t="shared" ref="E440:F440" si="30">E439/D439-1</f>
        <v>0</v>
      </c>
      <c r="F440" s="182">
        <f t="shared" si="30"/>
        <v>0</v>
      </c>
    </row>
    <row r="441" spans="2:6" ht="30.75" thickBot="1" x14ac:dyDescent="0.3">
      <c r="B441" s="65" t="s">
        <v>30</v>
      </c>
      <c r="C441" s="164">
        <f>+C376+C348+C286+C260+C234+C201+C175+C149+C123+C66+C40</f>
        <v>46765</v>
      </c>
      <c r="D441" s="164">
        <f>+D376+D348+D286+D260+D234+D201+D175+D149+D123+D66+D40</f>
        <v>55498.474999999999</v>
      </c>
      <c r="E441" s="164">
        <f>+E376+E348+E286+E260+E234+E201+E175+E149+E123+E66+E40</f>
        <v>63553.714999999997</v>
      </c>
      <c r="F441" s="164">
        <f>+F376+F348+F286+F260+F234+F201+F175+F149+F123+F66+F40</f>
        <v>50933.275000000001</v>
      </c>
    </row>
    <row r="442" spans="2:6" ht="30.75" thickBot="1" x14ac:dyDescent="0.3">
      <c r="B442" s="181" t="s">
        <v>87</v>
      </c>
      <c r="C442" s="165"/>
      <c r="D442" s="182">
        <f>D441/C441-1</f>
        <v>0.18675237891585583</v>
      </c>
      <c r="E442" s="182">
        <f t="shared" ref="E442:F442" si="31">E441/D441-1</f>
        <v>0.14514344763527287</v>
      </c>
      <c r="F442" s="182">
        <f t="shared" si="31"/>
        <v>-0.19857910745264851</v>
      </c>
    </row>
    <row r="443" spans="2:6" ht="15.75" thickBot="1" x14ac:dyDescent="0.3">
      <c r="B443" s="65" t="s">
        <v>32</v>
      </c>
      <c r="C443" s="164">
        <v>0</v>
      </c>
      <c r="D443" s="164">
        <v>0</v>
      </c>
      <c r="E443" s="164">
        <v>0</v>
      </c>
      <c r="F443" s="164">
        <v>0</v>
      </c>
    </row>
    <row r="444" spans="2:6" ht="30.75" thickBot="1" x14ac:dyDescent="0.3">
      <c r="B444" s="181" t="s">
        <v>88</v>
      </c>
      <c r="C444" s="165"/>
      <c r="D444" s="182"/>
      <c r="E444" s="182"/>
      <c r="F444" s="182"/>
    </row>
    <row r="445" spans="2:6" ht="30.75" thickBot="1" x14ac:dyDescent="0.3">
      <c r="B445" s="65" t="s">
        <v>34</v>
      </c>
      <c r="C445" s="164">
        <v>0</v>
      </c>
      <c r="D445" s="164">
        <v>0</v>
      </c>
      <c r="E445" s="164">
        <v>0</v>
      </c>
      <c r="F445" s="164">
        <v>0</v>
      </c>
    </row>
    <row r="446" spans="2:6" ht="30.75" thickBot="1" x14ac:dyDescent="0.3">
      <c r="B446" s="181" t="s">
        <v>89</v>
      </c>
      <c r="C446" s="165"/>
      <c r="D446" s="182"/>
      <c r="E446" s="182"/>
      <c r="F446" s="182"/>
    </row>
    <row r="447" spans="2:6" ht="15.75" thickBot="1" x14ac:dyDescent="0.3">
      <c r="B447" s="65" t="s">
        <v>36</v>
      </c>
      <c r="C447" s="164">
        <v>0</v>
      </c>
      <c r="D447" s="164">
        <v>0</v>
      </c>
      <c r="E447" s="164">
        <v>0</v>
      </c>
      <c r="F447" s="164">
        <v>0</v>
      </c>
    </row>
    <row r="448" spans="2:6" ht="30.75" thickBot="1" x14ac:dyDescent="0.3">
      <c r="B448" s="181" t="s">
        <v>90</v>
      </c>
      <c r="C448" s="165"/>
      <c r="D448" s="182"/>
      <c r="E448" s="182"/>
      <c r="F448" s="182"/>
    </row>
    <row r="449" spans="2:6" ht="30.75" thickBot="1" x14ac:dyDescent="0.3">
      <c r="B449" s="65" t="s">
        <v>38</v>
      </c>
      <c r="C449" s="164">
        <f>+C380+C352++C290+C264+C238+C205+C179+C153+C127++C70+C44</f>
        <v>35235</v>
      </c>
      <c r="D449" s="164">
        <f>+D380+D352++D290+D264+D238+D205+D179+D153+D127++D70+D44</f>
        <v>35201.525000000001</v>
      </c>
      <c r="E449" s="164">
        <f>+E380+E352++E290+E264+E238+E205+E179+E153+E127++E70+E44</f>
        <v>42146.285000000003</v>
      </c>
      <c r="F449" s="164">
        <f>+F380+F352++F290+F264+F238+F205+F179+F153+F127++F70+F44</f>
        <v>55266.724999999999</v>
      </c>
    </row>
    <row r="450" spans="2:6" ht="45.75" thickBot="1" x14ac:dyDescent="0.3">
      <c r="B450" s="181" t="s">
        <v>91</v>
      </c>
      <c r="C450" s="165"/>
      <c r="D450" s="182">
        <f>D449/C449-1</f>
        <v>-9.5004966652467715E-4</v>
      </c>
      <c r="E450" s="182">
        <f t="shared" ref="E450:F450" si="32">E449/D449-1</f>
        <v>0.19728577099997802</v>
      </c>
      <c r="F450" s="182">
        <f t="shared" si="32"/>
        <v>0.31130715316901592</v>
      </c>
    </row>
    <row r="451" spans="2:6" ht="30.75" thickBot="1" x14ac:dyDescent="0.3">
      <c r="B451" s="65" t="s">
        <v>92</v>
      </c>
      <c r="C451" s="164">
        <v>0</v>
      </c>
      <c r="D451" s="164">
        <v>0</v>
      </c>
      <c r="E451" s="164">
        <v>0</v>
      </c>
      <c r="F451" s="164">
        <v>0</v>
      </c>
    </row>
    <row r="452" spans="2:6" ht="30.75" thickBot="1" x14ac:dyDescent="0.3">
      <c r="B452" s="181" t="s">
        <v>93</v>
      </c>
      <c r="C452" s="165"/>
      <c r="D452" s="182"/>
      <c r="E452" s="182"/>
      <c r="F452" s="182"/>
    </row>
    <row r="453" spans="2:6" ht="15.75" thickBot="1" x14ac:dyDescent="0.3">
      <c r="B453" s="65" t="s">
        <v>94</v>
      </c>
      <c r="C453" s="164">
        <f>+C427+C404++C94</f>
        <v>2000</v>
      </c>
      <c r="D453" s="164">
        <f>+D427+D404++D94</f>
        <v>1000</v>
      </c>
      <c r="E453" s="164">
        <f>+E427+E404++E94</f>
        <v>1000</v>
      </c>
      <c r="F453" s="164">
        <f>+F427+F404++F94</f>
        <v>1000</v>
      </c>
    </row>
    <row r="454" spans="2:6" ht="30.75" thickBot="1" x14ac:dyDescent="0.3">
      <c r="B454" s="181" t="s">
        <v>95</v>
      </c>
      <c r="C454" s="165"/>
      <c r="D454" s="182">
        <f>D453/C453-1</f>
        <v>-0.5</v>
      </c>
      <c r="E454" s="182">
        <f t="shared" ref="E454:F454" si="33">E453/D453-1</f>
        <v>0</v>
      </c>
      <c r="F454" s="182">
        <f t="shared" si="33"/>
        <v>0</v>
      </c>
    </row>
    <row r="455" spans="2:6" x14ac:dyDescent="0.25">
      <c r="B455" s="1220" t="s">
        <v>790</v>
      </c>
      <c r="C455" s="1223"/>
      <c r="D455" s="1223"/>
      <c r="E455" s="1223"/>
      <c r="F455" s="1224"/>
    </row>
    <row r="456" spans="2:6" x14ac:dyDescent="0.25">
      <c r="B456" s="1221"/>
      <c r="C456" s="1225"/>
      <c r="D456" s="1225"/>
      <c r="E456" s="1225"/>
      <c r="F456" s="1226"/>
    </row>
    <row r="457" spans="2:6" ht="15.75" thickBot="1" x14ac:dyDescent="0.3">
      <c r="B457" s="1222"/>
      <c r="C457" s="1227"/>
      <c r="D457" s="1227"/>
      <c r="E457" s="1227"/>
      <c r="F457" s="1228"/>
    </row>
    <row r="458" spans="2:6" ht="15.75" thickBot="1" x14ac:dyDescent="0.3">
      <c r="B458" s="166" t="s">
        <v>41</v>
      </c>
      <c r="C458" s="167">
        <f>IF(C435-C434=0,0,"Error")</f>
        <v>0</v>
      </c>
      <c r="D458" s="167">
        <f t="shared" ref="D458:F458" si="34">IF(D435-D434=0,0,"Error")</f>
        <v>0</v>
      </c>
      <c r="E458" s="167">
        <f t="shared" si="34"/>
        <v>0</v>
      </c>
      <c r="F458" s="167">
        <f t="shared" si="34"/>
        <v>0</v>
      </c>
    </row>
    <row r="459" spans="2:6" ht="45.75" thickBot="1" x14ac:dyDescent="0.3">
      <c r="B459" s="183" t="s">
        <v>96</v>
      </c>
      <c r="C459" s="164">
        <v>31</v>
      </c>
      <c r="D459" s="164">
        <v>31</v>
      </c>
      <c r="E459" s="164">
        <v>31</v>
      </c>
      <c r="F459" s="164">
        <v>31</v>
      </c>
    </row>
    <row r="460" spans="2:6" ht="45.75" thickBot="1" x14ac:dyDescent="0.3">
      <c r="B460" s="183" t="s">
        <v>97</v>
      </c>
      <c r="C460" s="736" t="s">
        <v>23</v>
      </c>
      <c r="D460" s="737" t="s">
        <v>23</v>
      </c>
      <c r="E460" s="737" t="s">
        <v>23</v>
      </c>
      <c r="F460" s="737" t="s">
        <v>23</v>
      </c>
    </row>
    <row r="605" spans="7:7" ht="15.75" thickBot="1" x14ac:dyDescent="0.3"/>
    <row r="606" spans="7:7" x14ac:dyDescent="0.25">
      <c r="G606" s="186"/>
    </row>
    <row r="607" spans="7:7" x14ac:dyDescent="0.25">
      <c r="G607" s="187"/>
    </row>
    <row r="608" spans="7:7" ht="15.75" thickBot="1" x14ac:dyDescent="0.3">
      <c r="G608" s="188"/>
    </row>
  </sheetData>
  <mergeCells count="161">
    <mergeCell ref="C4:F4"/>
    <mergeCell ref="C5:F5"/>
    <mergeCell ref="C6:F6"/>
    <mergeCell ref="B7:F7"/>
    <mergeCell ref="B23:F23"/>
    <mergeCell ref="C24:F24"/>
    <mergeCell ref="C25:F25"/>
    <mergeCell ref="C26:F26"/>
    <mergeCell ref="B27:B28"/>
    <mergeCell ref="B35:F35"/>
    <mergeCell ref="B8:F10"/>
    <mergeCell ref="C11:F11"/>
    <mergeCell ref="B12:B13"/>
    <mergeCell ref="C18:F18"/>
    <mergeCell ref="B19:F19"/>
    <mergeCell ref="B22:F22"/>
    <mergeCell ref="B54:B55"/>
    <mergeCell ref="B61:F61"/>
    <mergeCell ref="B62:B63"/>
    <mergeCell ref="B72:B74"/>
    <mergeCell ref="C72:F74"/>
    <mergeCell ref="B76:F76"/>
    <mergeCell ref="B36:B37"/>
    <mergeCell ref="B46:B48"/>
    <mergeCell ref="C46:F48"/>
    <mergeCell ref="C50:F50"/>
    <mergeCell ref="C51:F51"/>
    <mergeCell ref="C52:F52"/>
    <mergeCell ref="B90:F90"/>
    <mergeCell ref="B91:B92"/>
    <mergeCell ref="B96:B98"/>
    <mergeCell ref="C96:F98"/>
    <mergeCell ref="C100:F100"/>
    <mergeCell ref="B101:F101"/>
    <mergeCell ref="B77:F77"/>
    <mergeCell ref="C78:F78"/>
    <mergeCell ref="C79:F79"/>
    <mergeCell ref="C80:F80"/>
    <mergeCell ref="C81:F81"/>
    <mergeCell ref="B82:B83"/>
    <mergeCell ref="B118:F118"/>
    <mergeCell ref="B119:B120"/>
    <mergeCell ref="B129:B131"/>
    <mergeCell ref="C129:F131"/>
    <mergeCell ref="C133:F133"/>
    <mergeCell ref="C134:F134"/>
    <mergeCell ref="B105:F105"/>
    <mergeCell ref="B106:F106"/>
    <mergeCell ref="C107:F107"/>
    <mergeCell ref="C108:F108"/>
    <mergeCell ref="C109:F109"/>
    <mergeCell ref="B110:B111"/>
    <mergeCell ref="C159:F159"/>
    <mergeCell ref="C160:F160"/>
    <mergeCell ref="C161:F161"/>
    <mergeCell ref="B162:B163"/>
    <mergeCell ref="B170:F170"/>
    <mergeCell ref="B171:B172"/>
    <mergeCell ref="C135:F135"/>
    <mergeCell ref="B136:B137"/>
    <mergeCell ref="B144:F144"/>
    <mergeCell ref="B145:B146"/>
    <mergeCell ref="B155:B157"/>
    <mergeCell ref="C155:F157"/>
    <mergeCell ref="B196:F196"/>
    <mergeCell ref="B197:B198"/>
    <mergeCell ref="B207:B209"/>
    <mergeCell ref="C207:F209"/>
    <mergeCell ref="C212:F212"/>
    <mergeCell ref="B213:F213"/>
    <mergeCell ref="B181:B183"/>
    <mergeCell ref="C181:F183"/>
    <mergeCell ref="C185:F185"/>
    <mergeCell ref="C186:F186"/>
    <mergeCell ref="C187:F187"/>
    <mergeCell ref="B188:B189"/>
    <mergeCell ref="B229:F229"/>
    <mergeCell ref="B230:B231"/>
    <mergeCell ref="B240:B242"/>
    <mergeCell ref="C240:F242"/>
    <mergeCell ref="C244:F244"/>
    <mergeCell ref="C245:F245"/>
    <mergeCell ref="B216:F216"/>
    <mergeCell ref="B217:F217"/>
    <mergeCell ref="C218:F218"/>
    <mergeCell ref="C219:F219"/>
    <mergeCell ref="C220:F220"/>
    <mergeCell ref="B221:B222"/>
    <mergeCell ref="C270:F270"/>
    <mergeCell ref="C271:F271"/>
    <mergeCell ref="C272:F272"/>
    <mergeCell ref="B273:B274"/>
    <mergeCell ref="B281:F281"/>
    <mergeCell ref="B282:B283"/>
    <mergeCell ref="C246:F246"/>
    <mergeCell ref="B247:B248"/>
    <mergeCell ref="B255:F255"/>
    <mergeCell ref="B256:B257"/>
    <mergeCell ref="B266:B268"/>
    <mergeCell ref="C266:F268"/>
    <mergeCell ref="C300:F300"/>
    <mergeCell ref="C301:F301"/>
    <mergeCell ref="B302:B303"/>
    <mergeCell ref="B310:F310"/>
    <mergeCell ref="B311:B312"/>
    <mergeCell ref="B316:B318"/>
    <mergeCell ref="C316:F318"/>
    <mergeCell ref="B292:B294"/>
    <mergeCell ref="C292:F294"/>
    <mergeCell ref="B296:F296"/>
    <mergeCell ref="B297:F297"/>
    <mergeCell ref="C298:F298"/>
    <mergeCell ref="C299:F299"/>
    <mergeCell ref="C330:F330"/>
    <mergeCell ref="C331:F331"/>
    <mergeCell ref="C332:F332"/>
    <mergeCell ref="B333:B334"/>
    <mergeCell ref="B341:B342"/>
    <mergeCell ref="B343:F343"/>
    <mergeCell ref="C321:F321"/>
    <mergeCell ref="B322:F322"/>
    <mergeCell ref="B323:F323"/>
    <mergeCell ref="B326:F326"/>
    <mergeCell ref="B327:F327"/>
    <mergeCell ref="B328:B329"/>
    <mergeCell ref="B361:B362"/>
    <mergeCell ref="B369:B370"/>
    <mergeCell ref="B371:F371"/>
    <mergeCell ref="B372:B373"/>
    <mergeCell ref="B382:B384"/>
    <mergeCell ref="C382:F384"/>
    <mergeCell ref="B344:B345"/>
    <mergeCell ref="B354:B356"/>
    <mergeCell ref="C354:F356"/>
    <mergeCell ref="C358:F358"/>
    <mergeCell ref="C359:F359"/>
    <mergeCell ref="C360:F360"/>
    <mergeCell ref="B392:B393"/>
    <mergeCell ref="B400:F400"/>
    <mergeCell ref="B401:B402"/>
    <mergeCell ref="B406:B408"/>
    <mergeCell ref="C406:F408"/>
    <mergeCell ref="B409:F409"/>
    <mergeCell ref="B386:F386"/>
    <mergeCell ref="B387:F387"/>
    <mergeCell ref="C388:F388"/>
    <mergeCell ref="C389:F389"/>
    <mergeCell ref="C390:F390"/>
    <mergeCell ref="C391:F391"/>
    <mergeCell ref="B423:F423"/>
    <mergeCell ref="B424:B425"/>
    <mergeCell ref="B429:B431"/>
    <mergeCell ref="C429:F431"/>
    <mergeCell ref="B455:B457"/>
    <mergeCell ref="C455:F457"/>
    <mergeCell ref="B410:F410"/>
    <mergeCell ref="C411:F411"/>
    <mergeCell ref="C412:F412"/>
    <mergeCell ref="C413:F413"/>
    <mergeCell ref="C414:F414"/>
    <mergeCell ref="B415:B416"/>
  </mergeCells>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90"/>
  <sheetViews>
    <sheetView topLeftCell="A73" workbookViewId="0">
      <selection activeCell="B4" sqref="B4:F4"/>
    </sheetView>
  </sheetViews>
  <sheetFormatPr defaultRowHeight="15" x14ac:dyDescent="0.25"/>
  <cols>
    <col min="1" max="1" width="9.140625" style="152"/>
    <col min="2" max="2" width="44.42578125" style="152" customWidth="1"/>
    <col min="3" max="3" width="14" style="152" customWidth="1"/>
    <col min="4" max="4" width="13.28515625" style="152" customWidth="1"/>
    <col min="5" max="5" width="16.28515625" style="152" customWidth="1"/>
    <col min="6" max="6" width="21.140625" style="152" customWidth="1"/>
    <col min="7" max="16384" width="9.140625" style="152"/>
  </cols>
  <sheetData>
    <row r="4" spans="2:6" x14ac:dyDescent="0.25">
      <c r="B4" s="762" t="s">
        <v>0</v>
      </c>
      <c r="C4" s="762"/>
      <c r="D4" s="762"/>
      <c r="E4" s="762"/>
      <c r="F4" s="762"/>
    </row>
    <row r="5" spans="2:6" ht="15.75" thickBot="1" x14ac:dyDescent="0.3"/>
    <row r="6" spans="2:6" ht="15.75" thickBot="1" x14ac:dyDescent="0.3">
      <c r="B6" s="661" t="s">
        <v>2</v>
      </c>
      <c r="C6" s="662" t="s">
        <v>1103</v>
      </c>
      <c r="D6" s="663"/>
      <c r="E6" s="663"/>
      <c r="F6" s="664"/>
    </row>
    <row r="7" spans="2:6" ht="15.75" thickBot="1" x14ac:dyDescent="0.3">
      <c r="B7" s="153" t="s">
        <v>3</v>
      </c>
      <c r="C7" s="1273" t="s">
        <v>1104</v>
      </c>
      <c r="D7" s="1274"/>
      <c r="E7" s="1274"/>
      <c r="F7" s="1275"/>
    </row>
    <row r="8" spans="2:6" ht="15.75" thickBot="1" x14ac:dyDescent="0.3">
      <c r="B8" s="153" t="s">
        <v>5</v>
      </c>
      <c r="C8" s="983" t="s">
        <v>6</v>
      </c>
      <c r="D8" s="984"/>
      <c r="E8" s="984"/>
      <c r="F8" s="985"/>
    </row>
    <row r="9" spans="2:6" ht="15.75" thickBot="1" x14ac:dyDescent="0.3">
      <c r="B9" s="986" t="s">
        <v>7</v>
      </c>
      <c r="C9" s="987"/>
      <c r="D9" s="987"/>
      <c r="E9" s="987"/>
      <c r="F9" s="988"/>
    </row>
    <row r="10" spans="2:6" ht="62.25" customHeight="1" thickBot="1" x14ac:dyDescent="0.3">
      <c r="B10" s="1049" t="s">
        <v>1105</v>
      </c>
      <c r="C10" s="1050"/>
      <c r="D10" s="1050"/>
      <c r="E10" s="1050"/>
      <c r="F10" s="1051"/>
    </row>
    <row r="11" spans="2:6" ht="15.75" thickBot="1" x14ac:dyDescent="0.3">
      <c r="B11" s="154" t="s">
        <v>8</v>
      </c>
      <c r="C11" s="1052" t="s">
        <v>1106</v>
      </c>
      <c r="D11" s="1065"/>
      <c r="E11" s="1065"/>
      <c r="F11" s="1066"/>
    </row>
    <row r="12" spans="2:6" x14ac:dyDescent="0.25">
      <c r="B12" s="998" t="s">
        <v>102</v>
      </c>
      <c r="C12" s="640">
        <v>2018</v>
      </c>
      <c r="D12" s="640">
        <v>2019</v>
      </c>
      <c r="E12" s="640">
        <v>2020</v>
      </c>
      <c r="F12" s="640">
        <v>2021</v>
      </c>
    </row>
    <row r="13" spans="2:6" ht="15.75" thickBot="1" x14ac:dyDescent="0.3">
      <c r="B13" s="999"/>
      <c r="C13" s="641" t="s">
        <v>10</v>
      </c>
      <c r="D13" s="641" t="s">
        <v>11</v>
      </c>
      <c r="E13" s="641" t="s">
        <v>11</v>
      </c>
      <c r="F13" s="641" t="s">
        <v>11</v>
      </c>
    </row>
    <row r="14" spans="2:6" ht="15.75" thickBot="1" x14ac:dyDescent="0.3">
      <c r="B14" s="637" t="s">
        <v>211</v>
      </c>
      <c r="C14" s="157" t="s">
        <v>116</v>
      </c>
      <c r="D14" s="157" t="s">
        <v>117</v>
      </c>
      <c r="E14" s="157" t="s">
        <v>117</v>
      </c>
      <c r="F14" s="157" t="s">
        <v>117</v>
      </c>
    </row>
    <row r="15" spans="2:6" ht="15.75" thickBot="1" x14ac:dyDescent="0.3">
      <c r="B15" s="62" t="s">
        <v>212</v>
      </c>
      <c r="C15" s="157" t="s">
        <v>116</v>
      </c>
      <c r="D15" s="157" t="s">
        <v>117</v>
      </c>
      <c r="E15" s="157" t="s">
        <v>117</v>
      </c>
      <c r="F15" s="157" t="s">
        <v>117</v>
      </c>
    </row>
    <row r="16" spans="2:6" ht="15.75" thickBot="1" x14ac:dyDescent="0.3">
      <c r="B16" s="62" t="s">
        <v>115</v>
      </c>
      <c r="C16" s="157" t="s">
        <v>116</v>
      </c>
      <c r="D16" s="157" t="s">
        <v>117</v>
      </c>
      <c r="E16" s="157" t="s">
        <v>117</v>
      </c>
      <c r="F16" s="157" t="s">
        <v>117</v>
      </c>
    </row>
    <row r="17" spans="2:6" ht="15.75" thickBot="1" x14ac:dyDescent="0.3">
      <c r="B17" s="158" t="s">
        <v>12</v>
      </c>
      <c r="C17" s="1052"/>
      <c r="D17" s="1053"/>
      <c r="E17" s="1053"/>
      <c r="F17" s="1054"/>
    </row>
    <row r="18" spans="2:6" ht="15.75" thickBot="1" x14ac:dyDescent="0.3">
      <c r="B18" s="1027" t="s">
        <v>1107</v>
      </c>
      <c r="C18" s="1028"/>
      <c r="D18" s="1028"/>
      <c r="E18" s="1028"/>
      <c r="F18" s="1029"/>
    </row>
    <row r="19" spans="2:6" ht="15.75" thickBot="1" x14ac:dyDescent="0.3">
      <c r="B19" s="637" t="s">
        <v>1108</v>
      </c>
      <c r="C19" s="665"/>
      <c r="D19" s="157" t="s">
        <v>124</v>
      </c>
      <c r="E19" s="157" t="s">
        <v>124</v>
      </c>
      <c r="F19" s="157" t="s">
        <v>124</v>
      </c>
    </row>
    <row r="20" spans="2:6" ht="15.75" thickBot="1" x14ac:dyDescent="0.3">
      <c r="B20" s="62" t="s">
        <v>1109</v>
      </c>
      <c r="C20" s="665"/>
      <c r="D20" s="157" t="s">
        <v>124</v>
      </c>
      <c r="E20" s="157" t="s">
        <v>124</v>
      </c>
      <c r="F20" s="157" t="s">
        <v>124</v>
      </c>
    </row>
    <row r="21" spans="2:6" ht="15.75" thickBot="1" x14ac:dyDescent="0.3">
      <c r="B21" s="62" t="s">
        <v>115</v>
      </c>
      <c r="C21" s="157"/>
      <c r="D21" s="157" t="s">
        <v>117</v>
      </c>
      <c r="E21" s="157" t="s">
        <v>117</v>
      </c>
      <c r="F21" s="157" t="s">
        <v>117</v>
      </c>
    </row>
    <row r="22" spans="2:6" ht="15.75" thickBot="1" x14ac:dyDescent="0.3">
      <c r="B22" s="989" t="s">
        <v>14</v>
      </c>
      <c r="C22" s="990"/>
      <c r="D22" s="990"/>
      <c r="E22" s="990"/>
      <c r="F22" s="991"/>
    </row>
    <row r="23" spans="2:6" ht="15.75" thickBot="1" x14ac:dyDescent="0.3">
      <c r="B23" s="989" t="s">
        <v>104</v>
      </c>
      <c r="C23" s="990"/>
      <c r="D23" s="990"/>
      <c r="E23" s="990"/>
      <c r="F23" s="991"/>
    </row>
    <row r="24" spans="2:6" ht="30.75" thickBot="1" x14ac:dyDescent="0.3">
      <c r="B24" s="160" t="s">
        <v>1110</v>
      </c>
      <c r="C24" s="1007"/>
      <c r="D24" s="1006"/>
      <c r="E24" s="1006"/>
      <c r="F24" s="1008"/>
    </row>
    <row r="25" spans="2:6" ht="15.75" thickBot="1" x14ac:dyDescent="0.3">
      <c r="B25" s="62" t="s">
        <v>17</v>
      </c>
      <c r="C25" s="1276" t="s">
        <v>1103</v>
      </c>
      <c r="D25" s="1277"/>
      <c r="E25" s="1277"/>
      <c r="F25" s="1278"/>
    </row>
    <row r="26" spans="2:6" ht="15.75" thickBot="1" x14ac:dyDescent="0.3">
      <c r="B26" s="62" t="s">
        <v>18</v>
      </c>
      <c r="C26" s="995"/>
      <c r="D26" s="996"/>
      <c r="E26" s="996"/>
      <c r="F26" s="997"/>
    </row>
    <row r="27" spans="2:6" x14ac:dyDescent="0.25">
      <c r="B27" s="998"/>
      <c r="C27" s="63">
        <v>2018</v>
      </c>
      <c r="D27" s="63">
        <v>2019</v>
      </c>
      <c r="E27" s="63">
        <v>2020</v>
      </c>
      <c r="F27" s="63">
        <v>2021</v>
      </c>
    </row>
    <row r="28" spans="2:6" ht="15.75" thickBot="1" x14ac:dyDescent="0.3">
      <c r="B28" s="999"/>
      <c r="C28" s="64" t="s">
        <v>10</v>
      </c>
      <c r="D28" s="64" t="s">
        <v>11</v>
      </c>
      <c r="E28" s="64" t="s">
        <v>11</v>
      </c>
      <c r="F28" s="64" t="s">
        <v>11</v>
      </c>
    </row>
    <row r="29" spans="2:6" ht="15.75" thickBot="1" x14ac:dyDescent="0.3">
      <c r="B29" s="62" t="s">
        <v>19</v>
      </c>
      <c r="C29" s="161">
        <v>1</v>
      </c>
      <c r="D29" s="161">
        <v>1</v>
      </c>
      <c r="E29" s="161">
        <v>1</v>
      </c>
      <c r="F29" s="161">
        <v>1</v>
      </c>
    </row>
    <row r="30" spans="2:6" ht="15.75" thickBot="1" x14ac:dyDescent="0.3">
      <c r="B30" s="62" t="s">
        <v>20</v>
      </c>
      <c r="C30" s="161">
        <v>164300</v>
      </c>
      <c r="D30" s="161">
        <v>165120</v>
      </c>
      <c r="E30" s="161">
        <v>166000</v>
      </c>
      <c r="F30" s="161">
        <v>166500</v>
      </c>
    </row>
    <row r="31" spans="2:6" ht="15.75" thickBot="1" x14ac:dyDescent="0.3">
      <c r="B31" s="62" t="s">
        <v>21</v>
      </c>
      <c r="C31" s="161">
        <f>C30/C29</f>
        <v>164300</v>
      </c>
      <c r="D31" s="161">
        <f t="shared" ref="D31:F31" si="0">D30/D29</f>
        <v>165120</v>
      </c>
      <c r="E31" s="161">
        <f t="shared" si="0"/>
        <v>166000</v>
      </c>
      <c r="F31" s="161">
        <f t="shared" si="0"/>
        <v>166500</v>
      </c>
    </row>
    <row r="32" spans="2:6" ht="15.75" thickBot="1" x14ac:dyDescent="0.3">
      <c r="B32" s="62" t="s">
        <v>22</v>
      </c>
      <c r="C32" s="636" t="s">
        <v>23</v>
      </c>
      <c r="D32" s="162">
        <f>D29/C29-1</f>
        <v>0</v>
      </c>
      <c r="E32" s="162">
        <f t="shared" ref="E32:F34" si="1">E29/D29-1</f>
        <v>0</v>
      </c>
      <c r="F32" s="162">
        <f t="shared" si="1"/>
        <v>0</v>
      </c>
    </row>
    <row r="33" spans="2:6" ht="15.75" thickBot="1" x14ac:dyDescent="0.3">
      <c r="B33" s="62" t="s">
        <v>24</v>
      </c>
      <c r="C33" s="636" t="s">
        <v>23</v>
      </c>
      <c r="D33" s="162">
        <f>D30/C30-1</f>
        <v>4.9908703590992864E-3</v>
      </c>
      <c r="E33" s="162">
        <f t="shared" si="1"/>
        <v>5.3294573643409837E-3</v>
      </c>
      <c r="F33" s="162">
        <f t="shared" si="1"/>
        <v>3.0120481927711218E-3</v>
      </c>
    </row>
    <row r="34" spans="2:6" ht="15.75" thickBot="1" x14ac:dyDescent="0.3">
      <c r="B34" s="62" t="s">
        <v>25</v>
      </c>
      <c r="C34" s="636" t="s">
        <v>23</v>
      </c>
      <c r="D34" s="162">
        <f>D31/C31-1</f>
        <v>4.9908703590992864E-3</v>
      </c>
      <c r="E34" s="162">
        <f t="shared" si="1"/>
        <v>5.3294573643409837E-3</v>
      </c>
      <c r="F34" s="162">
        <f t="shared" si="1"/>
        <v>3.0120481927711218E-3</v>
      </c>
    </row>
    <row r="35" spans="2:6" ht="15.75" thickBot="1" x14ac:dyDescent="0.3">
      <c r="B35" s="1000" t="s">
        <v>1120</v>
      </c>
      <c r="C35" s="1001"/>
      <c r="D35" s="1001"/>
      <c r="E35" s="1001"/>
      <c r="F35" s="1002"/>
    </row>
    <row r="36" spans="2:6"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15.75" thickBot="1" x14ac:dyDescent="0.3">
      <c r="B38" s="65" t="s">
        <v>26</v>
      </c>
      <c r="C38" s="164">
        <v>7992</v>
      </c>
      <c r="D38" s="164">
        <v>8200</v>
      </c>
      <c r="E38" s="164">
        <v>8200</v>
      </c>
      <c r="F38" s="164">
        <v>8500</v>
      </c>
    </row>
    <row r="39" spans="2:6" ht="15.75" thickBot="1" x14ac:dyDescent="0.3">
      <c r="B39" s="65" t="s">
        <v>28</v>
      </c>
      <c r="C39" s="164">
        <v>1308</v>
      </c>
      <c r="D39" s="164">
        <v>1350</v>
      </c>
      <c r="E39" s="164">
        <v>1350</v>
      </c>
      <c r="F39" s="164">
        <v>1450</v>
      </c>
    </row>
    <row r="40" spans="2:6" ht="15.75" thickBot="1" x14ac:dyDescent="0.3">
      <c r="B40" s="65" t="s">
        <v>30</v>
      </c>
      <c r="C40" s="165">
        <v>4000</v>
      </c>
      <c r="D40" s="164">
        <v>4000</v>
      </c>
      <c r="E40" s="164">
        <v>4000</v>
      </c>
      <c r="F40" s="164">
        <v>4000</v>
      </c>
    </row>
    <row r="41" spans="2:6" ht="15.75" thickBot="1" x14ac:dyDescent="0.3">
      <c r="B41" s="65" t="s">
        <v>32</v>
      </c>
      <c r="C41" s="165"/>
      <c r="D41" s="164"/>
      <c r="E41" s="164"/>
      <c r="F41" s="164"/>
    </row>
    <row r="42" spans="2:6" ht="15.75" thickBot="1" x14ac:dyDescent="0.3">
      <c r="B42" s="65" t="s">
        <v>34</v>
      </c>
      <c r="C42" s="165">
        <v>149000</v>
      </c>
      <c r="D42" s="164">
        <v>149570</v>
      </c>
      <c r="E42" s="164">
        <v>150450</v>
      </c>
      <c r="F42" s="164">
        <v>150950</v>
      </c>
    </row>
    <row r="43" spans="2:6" ht="15.75" thickBot="1" x14ac:dyDescent="0.3">
      <c r="B43" s="65" t="s">
        <v>36</v>
      </c>
      <c r="C43" s="165"/>
      <c r="D43" s="164"/>
      <c r="E43" s="164"/>
      <c r="F43" s="164"/>
    </row>
    <row r="44" spans="2:6" ht="15.75" thickBot="1" x14ac:dyDescent="0.3">
      <c r="B44" s="65" t="s">
        <v>38</v>
      </c>
      <c r="C44" s="165"/>
      <c r="D44" s="164"/>
      <c r="E44" s="164"/>
      <c r="F44" s="164"/>
    </row>
    <row r="45" spans="2:6" ht="15.75" thickBot="1" x14ac:dyDescent="0.3">
      <c r="B45" s="66" t="s">
        <v>1111</v>
      </c>
      <c r="C45" s="165">
        <f>C44+C43+C42+C41+C40+C39+C38</f>
        <v>162300</v>
      </c>
      <c r="D45" s="165">
        <f>D44+D43+D42+D41+D40+D39+D38</f>
        <v>163120</v>
      </c>
      <c r="E45" s="165">
        <f>E44+E43+E42+E41+E40+E39+E38</f>
        <v>164000</v>
      </c>
      <c r="F45" s="165">
        <f>F44+F43+F42+F41+F40+F39+F38</f>
        <v>164900</v>
      </c>
    </row>
    <row r="46" spans="2:6" ht="15.75" thickBot="1" x14ac:dyDescent="0.3">
      <c r="B46" s="166" t="s">
        <v>41</v>
      </c>
      <c r="C46" s="167"/>
      <c r="D46" s="167"/>
      <c r="E46" s="167"/>
      <c r="F46" s="167"/>
    </row>
    <row r="47" spans="2:6" ht="15.75" thickBot="1" x14ac:dyDescent="0.3">
      <c r="B47" s="218" t="s">
        <v>926</v>
      </c>
      <c r="C47" s="992"/>
      <c r="D47" s="993"/>
      <c r="E47" s="993"/>
      <c r="F47" s="994"/>
    </row>
    <row r="48" spans="2:6" ht="50.25" customHeight="1" thickBot="1" x14ac:dyDescent="0.3">
      <c r="B48" s="62" t="s">
        <v>17</v>
      </c>
      <c r="C48" s="1049" t="s">
        <v>1112</v>
      </c>
      <c r="D48" s="1050"/>
      <c r="E48" s="1050"/>
      <c r="F48" s="1051"/>
    </row>
    <row r="49" spans="2:6" ht="15.75" thickBot="1" x14ac:dyDescent="0.3">
      <c r="B49" s="989" t="s">
        <v>63</v>
      </c>
      <c r="C49" s="990"/>
      <c r="D49" s="990"/>
      <c r="E49" s="990"/>
      <c r="F49" s="991"/>
    </row>
    <row r="50" spans="2:6" ht="15.75" thickBot="1" x14ac:dyDescent="0.3">
      <c r="B50" s="989" t="s">
        <v>56</v>
      </c>
      <c r="C50" s="990"/>
      <c r="D50" s="990"/>
      <c r="E50" s="990"/>
      <c r="F50" s="991"/>
    </row>
    <row r="51" spans="2:6" ht="15.75" thickBot="1" x14ac:dyDescent="0.3">
      <c r="B51" s="67" t="s">
        <v>79</v>
      </c>
      <c r="C51" s="1009" t="s">
        <v>1113</v>
      </c>
      <c r="D51" s="1010"/>
      <c r="E51" s="1010"/>
      <c r="F51" s="1011"/>
    </row>
    <row r="52" spans="2:6" ht="21" customHeight="1" thickBot="1" x14ac:dyDescent="0.3">
      <c r="B52" s="160" t="s">
        <v>16</v>
      </c>
      <c r="C52" s="992" t="s">
        <v>1114</v>
      </c>
      <c r="D52" s="993"/>
      <c r="E52" s="993"/>
      <c r="F52" s="994"/>
    </row>
    <row r="53" spans="2:6" ht="24" customHeight="1" thickBot="1" x14ac:dyDescent="0.3">
      <c r="B53" s="62" t="s">
        <v>17</v>
      </c>
      <c r="C53" s="983" t="s">
        <v>1115</v>
      </c>
      <c r="D53" s="984"/>
      <c r="E53" s="984"/>
      <c r="F53" s="985"/>
    </row>
    <row r="54" spans="2:6" ht="15.75" thickBot="1" x14ac:dyDescent="0.3">
      <c r="B54" s="62" t="s">
        <v>18</v>
      </c>
      <c r="C54" s="995" t="s">
        <v>73</v>
      </c>
      <c r="D54" s="996"/>
      <c r="E54" s="996"/>
      <c r="F54" s="997"/>
    </row>
    <row r="55" spans="2:6" x14ac:dyDescent="0.25">
      <c r="B55" s="998"/>
      <c r="C55" s="63">
        <v>2018</v>
      </c>
      <c r="D55" s="63">
        <v>2019</v>
      </c>
      <c r="E55" s="63">
        <v>2020</v>
      </c>
      <c r="F55" s="63">
        <v>2021</v>
      </c>
    </row>
    <row r="56" spans="2:6" ht="15.75" thickBot="1" x14ac:dyDescent="0.3">
      <c r="B56" s="999"/>
      <c r="C56" s="64" t="s">
        <v>10</v>
      </c>
      <c r="D56" s="64" t="s">
        <v>11</v>
      </c>
      <c r="E56" s="64" t="s">
        <v>11</v>
      </c>
      <c r="F56" s="64" t="s">
        <v>11</v>
      </c>
    </row>
    <row r="57" spans="2:6" ht="15.75" thickBot="1" x14ac:dyDescent="0.3">
      <c r="B57" s="62" t="s">
        <v>19</v>
      </c>
      <c r="C57" s="161">
        <v>1</v>
      </c>
      <c r="D57" s="161">
        <v>1</v>
      </c>
      <c r="E57" s="161">
        <v>1</v>
      </c>
      <c r="F57" s="161">
        <v>1</v>
      </c>
    </row>
    <row r="58" spans="2:6" ht="15.75" thickBot="1" x14ac:dyDescent="0.3">
      <c r="B58" s="62" t="s">
        <v>20</v>
      </c>
      <c r="C58" s="161">
        <v>2000</v>
      </c>
      <c r="D58" s="161">
        <v>2000</v>
      </c>
      <c r="E58" s="161">
        <v>2000</v>
      </c>
      <c r="F58" s="161">
        <v>2000</v>
      </c>
    </row>
    <row r="59" spans="2:6" ht="15.75" thickBot="1" x14ac:dyDescent="0.3">
      <c r="B59" s="62" t="s">
        <v>21</v>
      </c>
      <c r="C59" s="161">
        <f>C58/C57</f>
        <v>2000</v>
      </c>
      <c r="D59" s="161">
        <f t="shared" ref="D59:F59" si="2">D58/D57</f>
        <v>2000</v>
      </c>
      <c r="E59" s="161">
        <f t="shared" si="2"/>
        <v>2000</v>
      </c>
      <c r="F59" s="161">
        <f t="shared" si="2"/>
        <v>2000</v>
      </c>
    </row>
    <row r="60" spans="2:6" ht="15.75" thickBot="1" x14ac:dyDescent="0.3">
      <c r="B60" s="62" t="s">
        <v>22</v>
      </c>
      <c r="C60" s="636" t="s">
        <v>23</v>
      </c>
      <c r="D60" s="162">
        <f>D57/C57-1</f>
        <v>0</v>
      </c>
      <c r="E60" s="162">
        <f t="shared" ref="E60:F62" si="3">E57/D57-1</f>
        <v>0</v>
      </c>
      <c r="F60" s="162">
        <f t="shared" si="3"/>
        <v>0</v>
      </c>
    </row>
    <row r="61" spans="2:6" ht="15.75" thickBot="1" x14ac:dyDescent="0.3">
      <c r="B61" s="62" t="s">
        <v>24</v>
      </c>
      <c r="C61" s="636" t="s">
        <v>23</v>
      </c>
      <c r="D61" s="162">
        <f>D58/C58-1</f>
        <v>0</v>
      </c>
      <c r="E61" s="162">
        <f t="shared" si="3"/>
        <v>0</v>
      </c>
      <c r="F61" s="162">
        <f t="shared" si="3"/>
        <v>0</v>
      </c>
    </row>
    <row r="62" spans="2:6" ht="15.75" thickBot="1" x14ac:dyDescent="0.3">
      <c r="B62" s="62" t="s">
        <v>25</v>
      </c>
      <c r="C62" s="636" t="s">
        <v>23</v>
      </c>
      <c r="D62" s="162">
        <f>D59/C59-1</f>
        <v>0</v>
      </c>
      <c r="E62" s="162">
        <f t="shared" si="3"/>
        <v>0</v>
      </c>
      <c r="F62" s="162">
        <f t="shared" si="3"/>
        <v>0</v>
      </c>
    </row>
    <row r="63" spans="2:6" ht="15.75" thickBot="1" x14ac:dyDescent="0.3">
      <c r="B63" s="1000" t="s">
        <v>784</v>
      </c>
      <c r="C63" s="1001"/>
      <c r="D63" s="1001"/>
      <c r="E63" s="1001"/>
      <c r="F63" s="1002"/>
    </row>
    <row r="64" spans="2:6" x14ac:dyDescent="0.25">
      <c r="B64" s="998"/>
      <c r="C64" s="63">
        <v>2018</v>
      </c>
      <c r="D64" s="63">
        <v>2019</v>
      </c>
      <c r="E64" s="63">
        <v>2020</v>
      </c>
      <c r="F64" s="63">
        <v>2021</v>
      </c>
    </row>
    <row r="65" spans="2:6" ht="15.75" thickBot="1" x14ac:dyDescent="0.3">
      <c r="B65" s="999"/>
      <c r="C65" s="64" t="s">
        <v>10</v>
      </c>
      <c r="D65" s="64" t="s">
        <v>11</v>
      </c>
      <c r="E65" s="64" t="s">
        <v>11</v>
      </c>
      <c r="F65" s="64" t="s">
        <v>11</v>
      </c>
    </row>
    <row r="66" spans="2:6" ht="15.75" thickBot="1" x14ac:dyDescent="0.3">
      <c r="B66" s="65" t="s">
        <v>58</v>
      </c>
      <c r="C66" s="164"/>
      <c r="D66" s="164"/>
      <c r="E66" s="164"/>
      <c r="F66" s="164"/>
    </row>
    <row r="67" spans="2:6" ht="15.75" thickBot="1" x14ac:dyDescent="0.3">
      <c r="B67" s="65" t="s">
        <v>59</v>
      </c>
      <c r="C67" s="165">
        <v>2000</v>
      </c>
      <c r="D67" s="164">
        <v>2000</v>
      </c>
      <c r="E67" s="164">
        <v>2000</v>
      </c>
      <c r="F67" s="164">
        <v>2000</v>
      </c>
    </row>
    <row r="68" spans="2:6" ht="15.75" thickBot="1" x14ac:dyDescent="0.3">
      <c r="B68" s="66" t="s">
        <v>40</v>
      </c>
      <c r="C68" s="165">
        <f>C67+C66</f>
        <v>2000</v>
      </c>
      <c r="D68" s="165">
        <f t="shared" ref="D68:F68" si="4">D67+D66</f>
        <v>2000</v>
      </c>
      <c r="E68" s="165">
        <f t="shared" si="4"/>
        <v>2000</v>
      </c>
      <c r="F68" s="165">
        <f t="shared" si="4"/>
        <v>2000</v>
      </c>
    </row>
    <row r="69" spans="2:6" x14ac:dyDescent="0.25">
      <c r="B69" s="1015" t="s">
        <v>60</v>
      </c>
      <c r="C69" s="1279" t="s">
        <v>1116</v>
      </c>
      <c r="D69" s="1280"/>
      <c r="E69" s="1280"/>
      <c r="F69" s="1281"/>
    </row>
    <row r="70" spans="2:6" x14ac:dyDescent="0.25">
      <c r="B70" s="1016"/>
      <c r="C70" s="1282"/>
      <c r="D70" s="1283"/>
      <c r="E70" s="1283"/>
      <c r="F70" s="1284"/>
    </row>
    <row r="71" spans="2:6" ht="54" customHeight="1" thickBot="1" x14ac:dyDescent="0.3">
      <c r="B71" s="1017"/>
      <c r="C71" s="1285"/>
      <c r="D71" s="1286"/>
      <c r="E71" s="1286"/>
      <c r="F71" s="1287"/>
    </row>
    <row r="72" spans="2:6" ht="15.75" thickBot="1" x14ac:dyDescent="0.3">
      <c r="B72" s="67" t="s">
        <v>61</v>
      </c>
      <c r="C72" s="1009" t="s">
        <v>130</v>
      </c>
      <c r="D72" s="1010"/>
      <c r="E72" s="1010"/>
      <c r="F72" s="1011"/>
    </row>
    <row r="73" spans="2:6" ht="15.75" thickBot="1" x14ac:dyDescent="0.3">
      <c r="B73" s="160" t="s">
        <v>1117</v>
      </c>
      <c r="C73" s="992" t="s">
        <v>1118</v>
      </c>
      <c r="D73" s="993"/>
      <c r="E73" s="993"/>
      <c r="F73" s="994"/>
    </row>
    <row r="74" spans="2:6" ht="15.75" thickBot="1" x14ac:dyDescent="0.3">
      <c r="B74" s="62" t="s">
        <v>17</v>
      </c>
      <c r="C74" s="983" t="s">
        <v>1119</v>
      </c>
      <c r="D74" s="984"/>
      <c r="E74" s="984"/>
      <c r="F74" s="985"/>
    </row>
    <row r="75" spans="2:6" ht="15.75" thickBot="1" x14ac:dyDescent="0.3">
      <c r="B75" s="62" t="s">
        <v>18</v>
      </c>
      <c r="C75" s="995" t="s">
        <v>73</v>
      </c>
      <c r="D75" s="996"/>
      <c r="E75" s="996"/>
      <c r="F75" s="997"/>
    </row>
    <row r="76" spans="2:6" x14ac:dyDescent="0.25">
      <c r="B76" s="998"/>
      <c r="C76" s="63">
        <v>2018</v>
      </c>
      <c r="D76" s="63">
        <v>2019</v>
      </c>
      <c r="E76" s="63">
        <v>2020</v>
      </c>
      <c r="F76" s="63">
        <v>2021</v>
      </c>
    </row>
    <row r="77" spans="2:6" ht="15.75" thickBot="1" x14ac:dyDescent="0.3">
      <c r="B77" s="999"/>
      <c r="C77" s="64" t="s">
        <v>10</v>
      </c>
      <c r="D77" s="64" t="s">
        <v>11</v>
      </c>
      <c r="E77" s="64" t="s">
        <v>11</v>
      </c>
      <c r="F77" s="64" t="s">
        <v>11</v>
      </c>
    </row>
    <row r="78" spans="2:6" ht="15.75" thickBot="1" x14ac:dyDescent="0.3">
      <c r="B78" s="62" t="s">
        <v>19</v>
      </c>
      <c r="C78" s="161"/>
      <c r="D78" s="161">
        <v>1</v>
      </c>
      <c r="E78" s="161"/>
      <c r="F78" s="161"/>
    </row>
    <row r="79" spans="2:6" ht="15.75" thickBot="1" x14ac:dyDescent="0.3">
      <c r="B79" s="62" t="s">
        <v>20</v>
      </c>
      <c r="C79" s="161"/>
      <c r="D79" s="161">
        <v>2000</v>
      </c>
      <c r="E79" s="161"/>
      <c r="F79" s="161"/>
    </row>
    <row r="80" spans="2:6" ht="15.75" thickBot="1" x14ac:dyDescent="0.3">
      <c r="B80" s="62" t="s">
        <v>21</v>
      </c>
      <c r="C80" s="161" t="e">
        <f>C79/C78</f>
        <v>#DIV/0!</v>
      </c>
      <c r="D80" s="161">
        <f t="shared" ref="D80:F80" si="5">D79/D78</f>
        <v>2000</v>
      </c>
      <c r="E80" s="161" t="e">
        <f t="shared" si="5"/>
        <v>#DIV/0!</v>
      </c>
      <c r="F80" s="161" t="e">
        <f t="shared" si="5"/>
        <v>#DIV/0!</v>
      </c>
    </row>
    <row r="81" spans="2:6" ht="15.75" thickBot="1" x14ac:dyDescent="0.3">
      <c r="B81" s="62" t="s">
        <v>22</v>
      </c>
      <c r="C81" s="636" t="s">
        <v>23</v>
      </c>
      <c r="D81" s="162" t="e">
        <f>D78/C78-1</f>
        <v>#DIV/0!</v>
      </c>
      <c r="E81" s="162">
        <f t="shared" ref="E81:F83" si="6">E78/D78-1</f>
        <v>-1</v>
      </c>
      <c r="F81" s="162" t="e">
        <f t="shared" si="6"/>
        <v>#DIV/0!</v>
      </c>
    </row>
    <row r="82" spans="2:6" ht="15.75" thickBot="1" x14ac:dyDescent="0.3">
      <c r="B82" s="62" t="s">
        <v>24</v>
      </c>
      <c r="C82" s="636" t="s">
        <v>23</v>
      </c>
      <c r="D82" s="162" t="e">
        <f>D79/C79-1</f>
        <v>#DIV/0!</v>
      </c>
      <c r="E82" s="162">
        <f t="shared" si="6"/>
        <v>-1</v>
      </c>
      <c r="F82" s="162" t="e">
        <f t="shared" si="6"/>
        <v>#DIV/0!</v>
      </c>
    </row>
    <row r="83" spans="2:6" ht="15.75" thickBot="1" x14ac:dyDescent="0.3">
      <c r="B83" s="62" t="s">
        <v>25</v>
      </c>
      <c r="C83" s="636" t="s">
        <v>23</v>
      </c>
      <c r="D83" s="162" t="e">
        <f>D80/C80-1</f>
        <v>#DIV/0!</v>
      </c>
      <c r="E83" s="162" t="e">
        <f t="shared" si="6"/>
        <v>#DIV/0!</v>
      </c>
      <c r="F83" s="162" t="e">
        <f t="shared" si="6"/>
        <v>#DIV/0!</v>
      </c>
    </row>
    <row r="84" spans="2:6" ht="15.75" thickBot="1" x14ac:dyDescent="0.3">
      <c r="B84" s="1000" t="s">
        <v>1121</v>
      </c>
      <c r="C84" s="1001"/>
      <c r="D84" s="1001"/>
      <c r="E84" s="1001"/>
      <c r="F84" s="1002"/>
    </row>
    <row r="85" spans="2:6" x14ac:dyDescent="0.25">
      <c r="B85" s="998"/>
      <c r="C85" s="63">
        <v>2018</v>
      </c>
      <c r="D85" s="63">
        <v>2019</v>
      </c>
      <c r="E85" s="63">
        <v>2020</v>
      </c>
      <c r="F85" s="63">
        <v>2021</v>
      </c>
    </row>
    <row r="86" spans="2:6" ht="15.75" thickBot="1" x14ac:dyDescent="0.3">
      <c r="B86" s="999"/>
      <c r="C86" s="64" t="s">
        <v>10</v>
      </c>
      <c r="D86" s="64" t="s">
        <v>11</v>
      </c>
      <c r="E86" s="64" t="s">
        <v>11</v>
      </c>
      <c r="F86" s="64" t="s">
        <v>11</v>
      </c>
    </row>
    <row r="87" spans="2:6" ht="15.75" thickBot="1" x14ac:dyDescent="0.3">
      <c r="B87" s="65" t="s">
        <v>58</v>
      </c>
      <c r="C87" s="164"/>
      <c r="D87" s="164"/>
      <c r="E87" s="164"/>
      <c r="F87" s="164"/>
    </row>
    <row r="88" spans="2:6" ht="15.75" thickBot="1" x14ac:dyDescent="0.3">
      <c r="B88" s="65" t="s">
        <v>59</v>
      </c>
      <c r="C88" s="165"/>
      <c r="D88" s="164">
        <v>2000</v>
      </c>
      <c r="E88" s="164"/>
      <c r="F88" s="164"/>
    </row>
    <row r="89" spans="2:6" ht="15.75" thickBot="1" x14ac:dyDescent="0.3">
      <c r="B89" s="66" t="s">
        <v>74</v>
      </c>
      <c r="C89" s="165">
        <f>C88+C87</f>
        <v>0</v>
      </c>
      <c r="D89" s="165">
        <f t="shared" ref="D89:F89" si="7">D88+D87</f>
        <v>2000</v>
      </c>
      <c r="E89" s="165">
        <f t="shared" si="7"/>
        <v>0</v>
      </c>
      <c r="F89" s="165">
        <f t="shared" si="7"/>
        <v>0</v>
      </c>
    </row>
    <row r="90" spans="2:6" ht="15.75" thickBot="1" x14ac:dyDescent="0.3">
      <c r="B90" s="989"/>
      <c r="C90" s="990"/>
      <c r="D90" s="990"/>
      <c r="E90" s="990"/>
      <c r="F90" s="991"/>
    </row>
  </sheetData>
  <mergeCells count="38">
    <mergeCell ref="B85:B86"/>
    <mergeCell ref="B90:F90"/>
    <mergeCell ref="C72:F72"/>
    <mergeCell ref="C73:F73"/>
    <mergeCell ref="C74:F74"/>
    <mergeCell ref="C75:F75"/>
    <mergeCell ref="B76:B77"/>
    <mergeCell ref="B84:F84"/>
    <mergeCell ref="B69:B71"/>
    <mergeCell ref="C69:F71"/>
    <mergeCell ref="C47:F47"/>
    <mergeCell ref="C48:F48"/>
    <mergeCell ref="B49:F49"/>
    <mergeCell ref="B50:F50"/>
    <mergeCell ref="C51:F51"/>
    <mergeCell ref="C52:F52"/>
    <mergeCell ref="C53:F53"/>
    <mergeCell ref="C54:F54"/>
    <mergeCell ref="B55:B56"/>
    <mergeCell ref="B63:F63"/>
    <mergeCell ref="B64:B65"/>
    <mergeCell ref="B36:B37"/>
    <mergeCell ref="C11:F11"/>
    <mergeCell ref="B12:B13"/>
    <mergeCell ref="C17:F17"/>
    <mergeCell ref="B18:F18"/>
    <mergeCell ref="B22:F22"/>
    <mergeCell ref="B23:F23"/>
    <mergeCell ref="C24:F24"/>
    <mergeCell ref="C25:F25"/>
    <mergeCell ref="C26:F26"/>
    <mergeCell ref="B27:B28"/>
    <mergeCell ref="B35:F35"/>
    <mergeCell ref="B10:F10"/>
    <mergeCell ref="B4:F4"/>
    <mergeCell ref="C7:F7"/>
    <mergeCell ref="C8:F8"/>
    <mergeCell ref="B9:F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7"/>
  <sheetViews>
    <sheetView topLeftCell="A152" zoomScale="110" zoomScaleNormal="110" workbookViewId="0">
      <selection activeCell="M11" sqref="M11"/>
    </sheetView>
  </sheetViews>
  <sheetFormatPr defaultRowHeight="15" x14ac:dyDescent="0.25"/>
  <cols>
    <col min="1" max="1" width="9.140625" style="152"/>
    <col min="2" max="2" width="42" style="152" customWidth="1"/>
    <col min="3" max="3" width="23.85546875" style="152" customWidth="1"/>
    <col min="4" max="4" width="17.85546875" style="152" customWidth="1"/>
    <col min="5" max="5" width="18.5703125" style="152" customWidth="1"/>
    <col min="6" max="6" width="18.42578125" style="152" customWidth="1"/>
    <col min="7" max="7" width="9.140625" style="152"/>
    <col min="8" max="8" width="11" style="152" customWidth="1"/>
    <col min="9" max="9" width="11" style="152" bestFit="1" customWidth="1"/>
    <col min="10" max="16384" width="9.140625" style="152"/>
  </cols>
  <sheetData>
    <row r="2" spans="1:10" x14ac:dyDescent="0.25">
      <c r="A2" s="762"/>
      <c r="B2" s="762"/>
      <c r="C2" s="762"/>
      <c r="D2" s="762"/>
      <c r="E2" s="762"/>
      <c r="F2" s="762"/>
    </row>
    <row r="3" spans="1:10" ht="15.75" thickBot="1" x14ac:dyDescent="0.3">
      <c r="B3" s="762" t="s">
        <v>0</v>
      </c>
      <c r="C3" s="762"/>
      <c r="D3" s="762"/>
      <c r="E3" s="762"/>
      <c r="F3" s="762"/>
    </row>
    <row r="4" spans="1:10" ht="15.75" thickBot="1" x14ac:dyDescent="0.3">
      <c r="B4" s="153" t="s">
        <v>2</v>
      </c>
      <c r="C4" s="979" t="s">
        <v>213</v>
      </c>
      <c r="D4" s="979"/>
      <c r="E4" s="979"/>
      <c r="F4" s="979"/>
    </row>
    <row r="5" spans="1:10" ht="15.75" thickBot="1" x14ac:dyDescent="0.3">
      <c r="B5" s="153" t="s">
        <v>3</v>
      </c>
      <c r="C5" s="1048" t="s">
        <v>127</v>
      </c>
      <c r="D5" s="981"/>
      <c r="E5" s="981"/>
      <c r="F5" s="982"/>
    </row>
    <row r="6" spans="1:10" ht="15.75" thickBot="1" x14ac:dyDescent="0.3">
      <c r="B6" s="153" t="s">
        <v>5</v>
      </c>
      <c r="C6" s="983" t="s">
        <v>6</v>
      </c>
      <c r="D6" s="984"/>
      <c r="E6" s="984"/>
      <c r="F6" s="985"/>
    </row>
    <row r="7" spans="1:10" ht="15.75" thickBot="1" x14ac:dyDescent="0.3">
      <c r="B7" s="986" t="s">
        <v>7</v>
      </c>
      <c r="C7" s="987"/>
      <c r="D7" s="987"/>
      <c r="E7" s="987"/>
      <c r="F7" s="988"/>
    </row>
    <row r="8" spans="1:10" ht="15.75" thickBot="1" x14ac:dyDescent="0.3">
      <c r="B8" s="1291" t="s">
        <v>214</v>
      </c>
      <c r="C8" s="1292"/>
      <c r="D8" s="1292"/>
      <c r="E8" s="1292"/>
      <c r="F8" s="1293"/>
    </row>
    <row r="9" spans="1:10" ht="15.75" thickBot="1" x14ac:dyDescent="0.3">
      <c r="B9" s="1291"/>
      <c r="C9" s="1292"/>
      <c r="D9" s="1292"/>
      <c r="E9" s="1292"/>
      <c r="F9" s="1293"/>
    </row>
    <row r="10" spans="1:10" ht="15.75" thickBot="1" x14ac:dyDescent="0.3">
      <c r="B10" s="1291"/>
      <c r="C10" s="1292"/>
      <c r="D10" s="1292"/>
      <c r="E10" s="1292"/>
      <c r="F10" s="1293"/>
    </row>
    <row r="11" spans="1:10" ht="59.25" customHeight="1" thickBot="1" x14ac:dyDescent="0.3">
      <c r="B11" s="154" t="s">
        <v>8</v>
      </c>
      <c r="C11" s="861" t="s">
        <v>215</v>
      </c>
      <c r="D11" s="862"/>
      <c r="E11" s="862"/>
      <c r="F11" s="863"/>
    </row>
    <row r="12" spans="1:10" x14ac:dyDescent="0.25">
      <c r="B12" s="1294" t="s">
        <v>9</v>
      </c>
      <c r="C12" s="155">
        <v>2018</v>
      </c>
      <c r="D12" s="155">
        <v>2019</v>
      </c>
      <c r="E12" s="155">
        <v>2020</v>
      </c>
      <c r="F12" s="155">
        <v>2021</v>
      </c>
    </row>
    <row r="13" spans="1:10" ht="15.75" thickBot="1" x14ac:dyDescent="0.3">
      <c r="B13" s="1295"/>
      <c r="C13" s="156" t="s">
        <v>10</v>
      </c>
      <c r="D13" s="156" t="s">
        <v>11</v>
      </c>
      <c r="E13" s="156" t="s">
        <v>11</v>
      </c>
      <c r="F13" s="156" t="s">
        <v>11</v>
      </c>
    </row>
    <row r="14" spans="1:10" ht="79.5" customHeight="1" thickBot="1" x14ac:dyDescent="0.3">
      <c r="B14" s="146" t="s">
        <v>216</v>
      </c>
      <c r="C14" s="157">
        <v>1</v>
      </c>
      <c r="D14" s="157">
        <v>1</v>
      </c>
      <c r="E14" s="157">
        <v>1</v>
      </c>
      <c r="F14" s="157">
        <v>1</v>
      </c>
      <c r="G14" s="1296"/>
      <c r="H14" s="1296"/>
    </row>
    <row r="15" spans="1:10" ht="72" customHeight="1" thickBot="1" x14ac:dyDescent="0.3">
      <c r="B15" s="158" t="s">
        <v>12</v>
      </c>
      <c r="C15" s="1007" t="s">
        <v>217</v>
      </c>
      <c r="D15" s="1006"/>
      <c r="E15" s="1006"/>
      <c r="F15" s="1008"/>
    </row>
    <row r="16" spans="1:10" ht="15.75" thickBot="1" x14ac:dyDescent="0.3">
      <c r="B16" s="983" t="s">
        <v>13</v>
      </c>
      <c r="C16" s="984"/>
      <c r="D16" s="984"/>
      <c r="E16" s="984"/>
      <c r="F16" s="985"/>
      <c r="H16" s="159"/>
      <c r="J16" s="159"/>
    </row>
    <row r="17" spans="2:11" ht="60.75" thickBot="1" x14ac:dyDescent="0.3">
      <c r="B17" s="146" t="s">
        <v>218</v>
      </c>
      <c r="C17" s="157">
        <v>1</v>
      </c>
      <c r="D17" s="157">
        <v>1</v>
      </c>
      <c r="E17" s="157">
        <v>1</v>
      </c>
      <c r="F17" s="157">
        <v>1</v>
      </c>
    </row>
    <row r="18" spans="2:11" ht="15.75" thickBot="1" x14ac:dyDescent="0.3">
      <c r="B18" s="989" t="s">
        <v>14</v>
      </c>
      <c r="C18" s="990"/>
      <c r="D18" s="990"/>
      <c r="E18" s="990"/>
      <c r="F18" s="991"/>
    </row>
    <row r="19" spans="2:11" ht="15.75" thickBot="1" x14ac:dyDescent="0.3">
      <c r="B19" s="989" t="s">
        <v>15</v>
      </c>
      <c r="C19" s="990"/>
      <c r="D19" s="990"/>
      <c r="E19" s="990"/>
      <c r="F19" s="991"/>
    </row>
    <row r="20" spans="2:11" ht="23.25" customHeight="1" thickBot="1" x14ac:dyDescent="0.3">
      <c r="B20" s="160" t="s">
        <v>16</v>
      </c>
      <c r="C20" s="992" t="s">
        <v>219</v>
      </c>
      <c r="D20" s="993"/>
      <c r="E20" s="993"/>
      <c r="F20" s="994"/>
    </row>
    <row r="21" spans="2:11" ht="41.25" customHeight="1" thickBot="1" x14ac:dyDescent="0.3">
      <c r="B21" s="62" t="s">
        <v>17</v>
      </c>
      <c r="C21" s="983" t="s">
        <v>220</v>
      </c>
      <c r="D21" s="984"/>
      <c r="E21" s="984"/>
      <c r="F21" s="985"/>
    </row>
    <row r="22" spans="2:11" ht="15.75" thickBot="1" x14ac:dyDescent="0.3">
      <c r="B22" s="62" t="s">
        <v>18</v>
      </c>
      <c r="C22" s="995">
        <v>1</v>
      </c>
      <c r="D22" s="996"/>
      <c r="E22" s="996"/>
      <c r="F22" s="997"/>
    </row>
    <row r="23" spans="2:11" x14ac:dyDescent="0.25">
      <c r="B23" s="998"/>
      <c r="C23" s="63">
        <v>2018</v>
      </c>
      <c r="D23" s="63">
        <v>2019</v>
      </c>
      <c r="E23" s="63">
        <v>2020</v>
      </c>
      <c r="F23" s="63">
        <v>2021</v>
      </c>
    </row>
    <row r="24" spans="2:11" ht="15.75" thickBot="1" x14ac:dyDescent="0.3">
      <c r="B24" s="999"/>
      <c r="C24" s="64" t="s">
        <v>10</v>
      </c>
      <c r="D24" s="64" t="s">
        <v>11</v>
      </c>
      <c r="E24" s="64" t="s">
        <v>11</v>
      </c>
      <c r="F24" s="64" t="s">
        <v>11</v>
      </c>
    </row>
    <row r="25" spans="2:11" ht="15.75" thickBot="1" x14ac:dyDescent="0.3">
      <c r="B25" s="62" t="s">
        <v>19</v>
      </c>
      <c r="C25" s="161">
        <v>1</v>
      </c>
      <c r="D25" s="161">
        <v>1</v>
      </c>
      <c r="E25" s="161">
        <v>1</v>
      </c>
      <c r="F25" s="161">
        <v>1</v>
      </c>
    </row>
    <row r="26" spans="2:11" ht="15.75" thickBot="1" x14ac:dyDescent="0.3">
      <c r="B26" s="62" t="s">
        <v>20</v>
      </c>
      <c r="C26" s="161">
        <f>C34+C35+C36</f>
        <v>58200</v>
      </c>
      <c r="D26" s="161">
        <f>D34+D35+D36</f>
        <v>58200</v>
      </c>
      <c r="E26" s="161">
        <f>E34+E35+E36</f>
        <v>58200</v>
      </c>
      <c r="F26" s="161">
        <v>59000</v>
      </c>
    </row>
    <row r="27" spans="2:11" ht="15.75" thickBot="1" x14ac:dyDescent="0.3">
      <c r="B27" s="62" t="s">
        <v>21</v>
      </c>
      <c r="C27" s="161">
        <f>C26/C25</f>
        <v>58200</v>
      </c>
      <c r="D27" s="161">
        <f t="shared" ref="D27:F27" si="0">D26/D25</f>
        <v>58200</v>
      </c>
      <c r="E27" s="161">
        <f t="shared" si="0"/>
        <v>58200</v>
      </c>
      <c r="F27" s="161">
        <f t="shared" si="0"/>
        <v>59000</v>
      </c>
    </row>
    <row r="28" spans="2:11" ht="15.75" thickBot="1" x14ac:dyDescent="0.3">
      <c r="B28" s="62" t="s">
        <v>22</v>
      </c>
      <c r="C28" s="145" t="s">
        <v>23</v>
      </c>
      <c r="D28" s="162">
        <f>D25/C25-1</f>
        <v>0</v>
      </c>
      <c r="E28" s="162">
        <f t="shared" ref="E28:F30" si="1">E25/D25-1</f>
        <v>0</v>
      </c>
      <c r="F28" s="162">
        <f t="shared" si="1"/>
        <v>0</v>
      </c>
      <c r="G28" s="163"/>
      <c r="H28" s="163"/>
      <c r="I28" s="163"/>
      <c r="J28" s="163"/>
      <c r="K28" s="163"/>
    </row>
    <row r="29" spans="2:11" ht="15.75" thickBot="1" x14ac:dyDescent="0.3">
      <c r="B29" s="62" t="s">
        <v>24</v>
      </c>
      <c r="C29" s="145" t="s">
        <v>23</v>
      </c>
      <c r="D29" s="162">
        <f>D26/C26-1</f>
        <v>0</v>
      </c>
      <c r="E29" s="162">
        <f t="shared" si="1"/>
        <v>0</v>
      </c>
      <c r="F29" s="162">
        <f t="shared" si="1"/>
        <v>1.3745704467353903E-2</v>
      </c>
    </row>
    <row r="30" spans="2:11" ht="15.75" thickBot="1" x14ac:dyDescent="0.3">
      <c r="B30" s="62" t="s">
        <v>25</v>
      </c>
      <c r="C30" s="145" t="s">
        <v>23</v>
      </c>
      <c r="D30" s="162">
        <f>D27/C27-1</f>
        <v>0</v>
      </c>
      <c r="E30" s="162">
        <f t="shared" si="1"/>
        <v>0</v>
      </c>
      <c r="F30" s="162">
        <f t="shared" si="1"/>
        <v>1.3745704467353903E-2</v>
      </c>
    </row>
    <row r="31" spans="2:11" ht="15.75" thickBot="1" x14ac:dyDescent="0.3">
      <c r="B31" s="1000" t="s">
        <v>784</v>
      </c>
      <c r="C31" s="1001"/>
      <c r="D31" s="1001"/>
      <c r="E31" s="1001"/>
      <c r="F31" s="1002"/>
    </row>
    <row r="32" spans="2:11" x14ac:dyDescent="0.25">
      <c r="B32" s="998"/>
      <c r="C32" s="63">
        <v>2018</v>
      </c>
      <c r="D32" s="63">
        <v>2019</v>
      </c>
      <c r="E32" s="63">
        <v>2020</v>
      </c>
      <c r="F32" s="63">
        <v>2021</v>
      </c>
    </row>
    <row r="33" spans="2:10" ht="15.75" thickBot="1" x14ac:dyDescent="0.3">
      <c r="B33" s="999"/>
      <c r="C33" s="64" t="s">
        <v>10</v>
      </c>
      <c r="D33" s="64" t="s">
        <v>11</v>
      </c>
      <c r="E33" s="64" t="s">
        <v>11</v>
      </c>
      <c r="F33" s="64" t="s">
        <v>11</v>
      </c>
    </row>
    <row r="34" spans="2:10" ht="15.75" thickBot="1" x14ac:dyDescent="0.3">
      <c r="B34" s="65" t="s">
        <v>26</v>
      </c>
      <c r="C34" s="164">
        <v>49400</v>
      </c>
      <c r="D34" s="164">
        <v>49400</v>
      </c>
      <c r="E34" s="164">
        <v>49400</v>
      </c>
      <c r="F34" s="164">
        <v>50000</v>
      </c>
    </row>
    <row r="35" spans="2:10" ht="15.75" thickBot="1" x14ac:dyDescent="0.3">
      <c r="B35" s="65" t="s">
        <v>28</v>
      </c>
      <c r="C35" s="164">
        <v>4800</v>
      </c>
      <c r="D35" s="164">
        <v>4800</v>
      </c>
      <c r="E35" s="164">
        <v>4800</v>
      </c>
      <c r="F35" s="164">
        <v>5000</v>
      </c>
    </row>
    <row r="36" spans="2:10" ht="15.75" thickBot="1" x14ac:dyDescent="0.3">
      <c r="B36" s="65" t="s">
        <v>30</v>
      </c>
      <c r="C36" s="165">
        <v>4000</v>
      </c>
      <c r="D36" s="164">
        <v>4000</v>
      </c>
      <c r="E36" s="164">
        <v>4000</v>
      </c>
      <c r="F36" s="164">
        <v>4000</v>
      </c>
    </row>
    <row r="37" spans="2:10" ht="15.75" thickBot="1" x14ac:dyDescent="0.3">
      <c r="B37" s="65" t="s">
        <v>32</v>
      </c>
      <c r="C37" s="165">
        <v>0</v>
      </c>
      <c r="D37" s="164">
        <v>0</v>
      </c>
      <c r="E37" s="164">
        <v>0</v>
      </c>
      <c r="F37" s="164">
        <v>0</v>
      </c>
    </row>
    <row r="38" spans="2:10" ht="15.75" thickBot="1" x14ac:dyDescent="0.3">
      <c r="B38" s="65" t="s">
        <v>34</v>
      </c>
      <c r="C38" s="165">
        <v>0</v>
      </c>
      <c r="D38" s="164">
        <v>0</v>
      </c>
      <c r="E38" s="164">
        <v>0</v>
      </c>
      <c r="F38" s="164">
        <v>0</v>
      </c>
    </row>
    <row r="39" spans="2:10" ht="15.75" thickBot="1" x14ac:dyDescent="0.3">
      <c r="B39" s="65" t="s">
        <v>36</v>
      </c>
      <c r="C39" s="165">
        <v>0</v>
      </c>
      <c r="D39" s="164">
        <v>0</v>
      </c>
      <c r="E39" s="164">
        <v>0</v>
      </c>
      <c r="F39" s="164">
        <v>0</v>
      </c>
    </row>
    <row r="40" spans="2:10" ht="15.75" thickBot="1" x14ac:dyDescent="0.3">
      <c r="B40" s="65" t="s">
        <v>38</v>
      </c>
      <c r="C40" s="165">
        <v>0</v>
      </c>
      <c r="D40" s="164">
        <v>0</v>
      </c>
      <c r="E40" s="164">
        <v>0</v>
      </c>
      <c r="F40" s="164">
        <v>0</v>
      </c>
    </row>
    <row r="41" spans="2:10" ht="15.75" thickBot="1" x14ac:dyDescent="0.3">
      <c r="B41" s="66" t="s">
        <v>40</v>
      </c>
      <c r="C41" s="165">
        <f>C40+C39+C38+C37+C36+C35+C34</f>
        <v>58200</v>
      </c>
      <c r="D41" s="165">
        <f>D40+D39+D38+D37+D36+D35+D34</f>
        <v>58200</v>
      </c>
      <c r="E41" s="165">
        <f>E40+E39+E38+E37+E36+E35+E34</f>
        <v>58200</v>
      </c>
      <c r="F41" s="165">
        <f>F40+F39+F38+F37+F36+F35+F34</f>
        <v>59000</v>
      </c>
    </row>
    <row r="42" spans="2:10" x14ac:dyDescent="0.25">
      <c r="B42" s="1015" t="s">
        <v>785</v>
      </c>
      <c r="C42" s="1036"/>
      <c r="D42" s="1037"/>
      <c r="E42" s="1037"/>
      <c r="F42" s="1038"/>
    </row>
    <row r="43" spans="2:10" x14ac:dyDescent="0.25">
      <c r="B43" s="1016"/>
      <c r="C43" s="1039"/>
      <c r="D43" s="1040"/>
      <c r="E43" s="1040"/>
      <c r="F43" s="1041"/>
    </row>
    <row r="44" spans="2:10" ht="15.75" thickBot="1" x14ac:dyDescent="0.3">
      <c r="B44" s="1017"/>
      <c r="C44" s="1042"/>
      <c r="D44" s="1043"/>
      <c r="E44" s="1043"/>
      <c r="F44" s="1044"/>
    </row>
    <row r="45" spans="2:10" ht="15.75" thickBot="1" x14ac:dyDescent="0.3">
      <c r="B45" s="166" t="s">
        <v>41</v>
      </c>
      <c r="C45" s="167">
        <f>IF(C41-C26=0,0,"Error")</f>
        <v>0</v>
      </c>
      <c r="D45" s="167">
        <f>IF(D41-D26=0,0,"Error")</f>
        <v>0</v>
      </c>
      <c r="E45" s="167">
        <f>IF(E41-E26=0,0,"Error")</f>
        <v>0</v>
      </c>
      <c r="F45" s="167">
        <f>IF(F41-F26=0,0,"Error")</f>
        <v>0</v>
      </c>
    </row>
    <row r="46" spans="2:10" ht="36.75" customHeight="1" thickBot="1" x14ac:dyDescent="0.3">
      <c r="B46" s="168" t="s">
        <v>67</v>
      </c>
      <c r="C46" s="1288" t="s">
        <v>221</v>
      </c>
      <c r="D46" s="1289"/>
      <c r="E46" s="1289"/>
      <c r="F46" s="1290"/>
    </row>
    <row r="47" spans="2:10" ht="23.25" customHeight="1" thickBot="1" x14ac:dyDescent="0.3">
      <c r="B47" s="983" t="s">
        <v>68</v>
      </c>
      <c r="C47" s="984"/>
      <c r="D47" s="984"/>
      <c r="E47" s="984"/>
      <c r="F47" s="985"/>
      <c r="H47" s="159"/>
      <c r="J47" s="159"/>
    </row>
    <row r="48" spans="2:10" ht="15.75" thickBot="1" x14ac:dyDescent="0.3">
      <c r="B48" s="169" t="s">
        <v>222</v>
      </c>
      <c r="C48" s="157">
        <v>0.97</v>
      </c>
      <c r="D48" s="157">
        <v>0.98</v>
      </c>
      <c r="E48" s="157">
        <v>0.99</v>
      </c>
      <c r="F48" s="157">
        <v>1</v>
      </c>
    </row>
    <row r="49" spans="2:11" ht="15.75" thickBot="1" x14ac:dyDescent="0.3">
      <c r="B49" s="989" t="s">
        <v>55</v>
      </c>
      <c r="C49" s="990"/>
      <c r="D49" s="990"/>
      <c r="E49" s="990"/>
      <c r="F49" s="991"/>
    </row>
    <row r="50" spans="2:11" ht="15.75" thickBot="1" x14ac:dyDescent="0.3">
      <c r="B50" s="989" t="s">
        <v>56</v>
      </c>
      <c r="C50" s="990"/>
      <c r="D50" s="990"/>
      <c r="E50" s="990"/>
      <c r="F50" s="991"/>
    </row>
    <row r="51" spans="2:11" ht="15.75" thickBot="1" x14ac:dyDescent="0.3">
      <c r="B51" s="67" t="s">
        <v>79</v>
      </c>
      <c r="C51" s="1009" t="s">
        <v>223</v>
      </c>
      <c r="D51" s="1010"/>
      <c r="E51" s="1010"/>
      <c r="F51" s="1011"/>
    </row>
    <row r="52" spans="2:11" ht="15.75" thickBot="1" x14ac:dyDescent="0.3">
      <c r="B52" s="160" t="s">
        <v>224</v>
      </c>
      <c r="C52" s="992" t="s">
        <v>223</v>
      </c>
      <c r="D52" s="993"/>
      <c r="E52" s="993"/>
      <c r="F52" s="994"/>
    </row>
    <row r="53" spans="2:11" ht="15.75" thickBot="1" x14ac:dyDescent="0.3">
      <c r="B53" s="62" t="s">
        <v>17</v>
      </c>
      <c r="C53" s="983" t="s">
        <v>225</v>
      </c>
      <c r="D53" s="984"/>
      <c r="E53" s="984"/>
      <c r="F53" s="985"/>
    </row>
    <row r="54" spans="2:11" ht="15.75" thickBot="1" x14ac:dyDescent="0.3">
      <c r="B54" s="62" t="s">
        <v>18</v>
      </c>
      <c r="C54" s="995" t="s">
        <v>226</v>
      </c>
      <c r="D54" s="996"/>
      <c r="E54" s="996"/>
      <c r="F54" s="997"/>
    </row>
    <row r="55" spans="2:11" x14ac:dyDescent="0.25">
      <c r="B55" s="998"/>
      <c r="C55" s="63">
        <v>2018</v>
      </c>
      <c r="D55" s="63">
        <v>2019</v>
      </c>
      <c r="E55" s="63">
        <v>2020</v>
      </c>
      <c r="F55" s="63">
        <v>2021</v>
      </c>
    </row>
    <row r="56" spans="2:11" ht="15.75" thickBot="1" x14ac:dyDescent="0.3">
      <c r="B56" s="999"/>
      <c r="C56" s="64" t="s">
        <v>10</v>
      </c>
      <c r="D56" s="64" t="s">
        <v>11</v>
      </c>
      <c r="E56" s="64" t="s">
        <v>11</v>
      </c>
      <c r="F56" s="64" t="s">
        <v>11</v>
      </c>
    </row>
    <row r="57" spans="2:11" ht="15.75" thickBot="1" x14ac:dyDescent="0.3">
      <c r="B57" s="62" t="s">
        <v>19</v>
      </c>
      <c r="C57" s="161">
        <v>6</v>
      </c>
      <c r="D57" s="161">
        <v>0</v>
      </c>
      <c r="E57" s="161">
        <v>0</v>
      </c>
      <c r="F57" s="161">
        <v>0</v>
      </c>
    </row>
    <row r="58" spans="2:11" ht="15.75" thickBot="1" x14ac:dyDescent="0.3">
      <c r="B58" s="62" t="s">
        <v>20</v>
      </c>
      <c r="C58" s="161">
        <v>960</v>
      </c>
      <c r="D58" s="161">
        <v>0</v>
      </c>
      <c r="E58" s="161">
        <v>0</v>
      </c>
      <c r="F58" s="161">
        <v>0</v>
      </c>
    </row>
    <row r="59" spans="2:11" ht="15.75" thickBot="1" x14ac:dyDescent="0.3">
      <c r="B59" s="62" t="s">
        <v>21</v>
      </c>
      <c r="C59" s="161">
        <f>C58/C57</f>
        <v>160</v>
      </c>
      <c r="D59" s="161" t="e">
        <f t="shared" ref="D59:F59" si="2">D58/D57</f>
        <v>#DIV/0!</v>
      </c>
      <c r="E59" s="161" t="e">
        <f t="shared" si="2"/>
        <v>#DIV/0!</v>
      </c>
      <c r="F59" s="161" t="e">
        <f t="shared" si="2"/>
        <v>#DIV/0!</v>
      </c>
      <c r="G59" s="170"/>
    </row>
    <row r="60" spans="2:11" ht="15.75" thickBot="1" x14ac:dyDescent="0.3">
      <c r="B60" s="62" t="s">
        <v>22</v>
      </c>
      <c r="C60" s="145" t="s">
        <v>23</v>
      </c>
      <c r="D60" s="162">
        <f>D57/C57-1</f>
        <v>-1</v>
      </c>
      <c r="E60" s="162" t="e">
        <f t="shared" ref="E60:F62" si="3">E57/D57-1</f>
        <v>#DIV/0!</v>
      </c>
      <c r="F60" s="162" t="e">
        <f t="shared" si="3"/>
        <v>#DIV/0!</v>
      </c>
      <c r="G60" s="163"/>
      <c r="H60" s="163"/>
      <c r="I60" s="163"/>
      <c r="J60" s="163"/>
      <c r="K60" s="163"/>
    </row>
    <row r="61" spans="2:11" ht="15.75" thickBot="1" x14ac:dyDescent="0.3">
      <c r="B61" s="62" t="s">
        <v>24</v>
      </c>
      <c r="C61" s="145" t="s">
        <v>23</v>
      </c>
      <c r="D61" s="162">
        <f>D58/C58-1</f>
        <v>-1</v>
      </c>
      <c r="E61" s="162" t="e">
        <f t="shared" si="3"/>
        <v>#DIV/0!</v>
      </c>
      <c r="F61" s="162" t="e">
        <f t="shared" si="3"/>
        <v>#DIV/0!</v>
      </c>
    </row>
    <row r="62" spans="2:11" ht="15.75" thickBot="1" x14ac:dyDescent="0.3">
      <c r="B62" s="62" t="s">
        <v>25</v>
      </c>
      <c r="C62" s="145" t="s">
        <v>23</v>
      </c>
      <c r="D62" s="162" t="e">
        <f>D59/C59-1</f>
        <v>#DIV/0!</v>
      </c>
      <c r="E62" s="162" t="e">
        <f t="shared" si="3"/>
        <v>#DIV/0!</v>
      </c>
      <c r="F62" s="162" t="e">
        <f t="shared" si="3"/>
        <v>#DIV/0!</v>
      </c>
    </row>
    <row r="63" spans="2:11" ht="15.75" thickBot="1" x14ac:dyDescent="0.3">
      <c r="B63" s="1000" t="s">
        <v>784</v>
      </c>
      <c r="C63" s="1001"/>
      <c r="D63" s="1001"/>
      <c r="E63" s="1001"/>
      <c r="F63" s="1002"/>
    </row>
    <row r="64" spans="2:11" x14ac:dyDescent="0.25">
      <c r="B64" s="998"/>
      <c r="C64" s="63">
        <v>2018</v>
      </c>
      <c r="D64" s="63">
        <v>2019</v>
      </c>
      <c r="E64" s="63">
        <v>2020</v>
      </c>
      <c r="F64" s="63">
        <v>2021</v>
      </c>
    </row>
    <row r="65" spans="2:6" ht="15.75" thickBot="1" x14ac:dyDescent="0.3">
      <c r="B65" s="999"/>
      <c r="C65" s="64" t="s">
        <v>10</v>
      </c>
      <c r="D65" s="64" t="s">
        <v>11</v>
      </c>
      <c r="E65" s="64" t="s">
        <v>11</v>
      </c>
      <c r="F65" s="64" t="s">
        <v>11</v>
      </c>
    </row>
    <row r="66" spans="2:6" ht="15.75" thickBot="1" x14ac:dyDescent="0.3">
      <c r="B66" s="65" t="s">
        <v>58</v>
      </c>
      <c r="C66" s="161"/>
      <c r="D66" s="161"/>
      <c r="E66" s="161"/>
      <c r="F66" s="161"/>
    </row>
    <row r="67" spans="2:6" ht="15.75" thickBot="1" x14ac:dyDescent="0.3">
      <c r="B67" s="65" t="s">
        <v>59</v>
      </c>
      <c r="C67" s="161">
        <f>C58</f>
        <v>960</v>
      </c>
      <c r="D67" s="161">
        <f>D58</f>
        <v>0</v>
      </c>
      <c r="E67" s="161">
        <f>E58</f>
        <v>0</v>
      </c>
      <c r="F67" s="161">
        <f>F58</f>
        <v>0</v>
      </c>
    </row>
    <row r="68" spans="2:6" ht="15.75" thickBot="1" x14ac:dyDescent="0.3">
      <c r="B68" s="66" t="s">
        <v>40</v>
      </c>
      <c r="C68" s="165">
        <f>C67+C66</f>
        <v>960</v>
      </c>
      <c r="D68" s="165">
        <f t="shared" ref="D68:F68" si="4">D67+D66</f>
        <v>0</v>
      </c>
      <c r="E68" s="165">
        <f t="shared" si="4"/>
        <v>0</v>
      </c>
      <c r="F68" s="165">
        <f t="shared" si="4"/>
        <v>0</v>
      </c>
    </row>
    <row r="69" spans="2:6" x14ac:dyDescent="0.25">
      <c r="B69" s="1015" t="s">
        <v>60</v>
      </c>
      <c r="C69" s="1077" t="s">
        <v>227</v>
      </c>
      <c r="D69" s="1078"/>
      <c r="E69" s="1078"/>
      <c r="F69" s="1079"/>
    </row>
    <row r="70" spans="2:6" x14ac:dyDescent="0.25">
      <c r="B70" s="1016"/>
      <c r="C70" s="1080"/>
      <c r="D70" s="1081"/>
      <c r="E70" s="1081"/>
      <c r="F70" s="1082"/>
    </row>
    <row r="71" spans="2:6" ht="15.75" thickBot="1" x14ac:dyDescent="0.3">
      <c r="B71" s="1017"/>
      <c r="C71" s="1083"/>
      <c r="D71" s="1084"/>
      <c r="E71" s="1084"/>
      <c r="F71" s="1085"/>
    </row>
    <row r="72" spans="2:6" ht="15.75" thickBot="1" x14ac:dyDescent="0.3">
      <c r="B72" s="146"/>
      <c r="C72" s="173"/>
      <c r="D72" s="174"/>
      <c r="E72" s="174"/>
      <c r="F72" s="156"/>
    </row>
    <row r="73" spans="2:6" ht="15.75" thickBot="1" x14ac:dyDescent="0.3">
      <c r="B73" s="989" t="s">
        <v>56</v>
      </c>
      <c r="C73" s="990"/>
      <c r="D73" s="990"/>
      <c r="E73" s="990"/>
      <c r="F73" s="991"/>
    </row>
    <row r="74" spans="2:6" ht="15.75" thickBot="1" x14ac:dyDescent="0.3">
      <c r="B74" s="67" t="s">
        <v>79</v>
      </c>
      <c r="C74" s="1009" t="s">
        <v>228</v>
      </c>
      <c r="D74" s="1010"/>
      <c r="E74" s="1010"/>
      <c r="F74" s="1011"/>
    </row>
    <row r="75" spans="2:6" ht="15.75" thickBot="1" x14ac:dyDescent="0.3">
      <c r="B75" s="160" t="s">
        <v>229</v>
      </c>
      <c r="C75" s="992" t="s">
        <v>228</v>
      </c>
      <c r="D75" s="993"/>
      <c r="E75" s="993"/>
      <c r="F75" s="994"/>
    </row>
    <row r="76" spans="2:6" ht="15.75" thickBot="1" x14ac:dyDescent="0.3">
      <c r="B76" s="62" t="s">
        <v>17</v>
      </c>
      <c r="C76" s="983" t="s">
        <v>228</v>
      </c>
      <c r="D76" s="984"/>
      <c r="E76" s="984"/>
      <c r="F76" s="985"/>
    </row>
    <row r="77" spans="2:6" ht="15.75" thickBot="1" x14ac:dyDescent="0.3">
      <c r="B77" s="62" t="s">
        <v>18</v>
      </c>
      <c r="C77" s="995" t="s">
        <v>230</v>
      </c>
      <c r="D77" s="996"/>
      <c r="E77" s="996"/>
      <c r="F77" s="997"/>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2" t="s">
        <v>19</v>
      </c>
      <c r="C80" s="161">
        <v>1</v>
      </c>
      <c r="D80" s="161">
        <v>0</v>
      </c>
      <c r="E80" s="161">
        <v>0</v>
      </c>
      <c r="F80" s="161">
        <v>0</v>
      </c>
    </row>
    <row r="81" spans="2:11" ht="15.75" thickBot="1" x14ac:dyDescent="0.3">
      <c r="B81" s="62" t="s">
        <v>20</v>
      </c>
      <c r="C81" s="161">
        <v>2200</v>
      </c>
      <c r="D81" s="161">
        <v>0</v>
      </c>
      <c r="E81" s="161">
        <v>0</v>
      </c>
      <c r="F81" s="161">
        <v>0</v>
      </c>
    </row>
    <row r="82" spans="2:11" ht="15.75" thickBot="1" x14ac:dyDescent="0.3">
      <c r="B82" s="62" t="s">
        <v>21</v>
      </c>
      <c r="C82" s="161">
        <f>C81/C80</f>
        <v>2200</v>
      </c>
      <c r="D82" s="161" t="e">
        <f t="shared" ref="D82:F82" si="5">D81/D80</f>
        <v>#DIV/0!</v>
      </c>
      <c r="E82" s="161" t="e">
        <f t="shared" si="5"/>
        <v>#DIV/0!</v>
      </c>
      <c r="F82" s="161" t="e">
        <f t="shared" si="5"/>
        <v>#DIV/0!</v>
      </c>
    </row>
    <row r="83" spans="2:11" ht="15.75" thickBot="1" x14ac:dyDescent="0.3">
      <c r="B83" s="62" t="s">
        <v>22</v>
      </c>
      <c r="C83" s="145" t="s">
        <v>23</v>
      </c>
      <c r="D83" s="162">
        <f>D80/C80-1</f>
        <v>-1</v>
      </c>
      <c r="E83" s="162" t="e">
        <f t="shared" ref="E83:F85" si="6">E80/D80-1</f>
        <v>#DIV/0!</v>
      </c>
      <c r="F83" s="162" t="e">
        <f t="shared" si="6"/>
        <v>#DIV/0!</v>
      </c>
      <c r="G83" s="163"/>
      <c r="H83" s="163"/>
      <c r="I83" s="163"/>
      <c r="J83" s="163"/>
      <c r="K83" s="163"/>
    </row>
    <row r="84" spans="2:11" ht="15.75" thickBot="1" x14ac:dyDescent="0.3">
      <c r="B84" s="62" t="s">
        <v>24</v>
      </c>
      <c r="C84" s="145" t="s">
        <v>23</v>
      </c>
      <c r="D84" s="162">
        <f>D81/C81-1</f>
        <v>-1</v>
      </c>
      <c r="E84" s="162" t="e">
        <f t="shared" si="6"/>
        <v>#DIV/0!</v>
      </c>
      <c r="F84" s="162" t="e">
        <f t="shared" si="6"/>
        <v>#DIV/0!</v>
      </c>
    </row>
    <row r="85" spans="2:11" ht="15.75" thickBot="1" x14ac:dyDescent="0.3">
      <c r="B85" s="62" t="s">
        <v>25</v>
      </c>
      <c r="C85" s="145" t="s">
        <v>23</v>
      </c>
      <c r="D85" s="162" t="e">
        <f>D82/C82-1</f>
        <v>#DIV/0!</v>
      </c>
      <c r="E85" s="162" t="e">
        <f t="shared" si="6"/>
        <v>#DIV/0!</v>
      </c>
      <c r="F85" s="162" t="e">
        <f t="shared" si="6"/>
        <v>#DIV/0!</v>
      </c>
    </row>
    <row r="86" spans="2:11" ht="15.75" thickBot="1" x14ac:dyDescent="0.3">
      <c r="B86" s="1000" t="s">
        <v>786</v>
      </c>
      <c r="C86" s="1001"/>
      <c r="D86" s="1001"/>
      <c r="E86" s="1001"/>
      <c r="F86" s="1002"/>
    </row>
    <row r="87" spans="2:11" x14ac:dyDescent="0.25">
      <c r="B87" s="998"/>
      <c r="C87" s="63">
        <v>2018</v>
      </c>
      <c r="D87" s="63">
        <v>2019</v>
      </c>
      <c r="E87" s="63">
        <v>2020</v>
      </c>
      <c r="F87" s="63">
        <v>2021</v>
      </c>
    </row>
    <row r="88" spans="2:11" ht="15.75" thickBot="1" x14ac:dyDescent="0.3">
      <c r="B88" s="999"/>
      <c r="C88" s="64" t="s">
        <v>10</v>
      </c>
      <c r="D88" s="64" t="s">
        <v>11</v>
      </c>
      <c r="E88" s="64" t="s">
        <v>11</v>
      </c>
      <c r="F88" s="64" t="s">
        <v>11</v>
      </c>
    </row>
    <row r="89" spans="2:11" ht="15.75" thickBot="1" x14ac:dyDescent="0.3">
      <c r="B89" s="65" t="s">
        <v>58</v>
      </c>
      <c r="C89" s="161"/>
      <c r="D89" s="161"/>
      <c r="E89" s="161"/>
      <c r="F89" s="161"/>
    </row>
    <row r="90" spans="2:11" ht="15.75" thickBot="1" x14ac:dyDescent="0.3">
      <c r="B90" s="65" t="s">
        <v>59</v>
      </c>
      <c r="C90" s="165">
        <f>C81</f>
        <v>2200</v>
      </c>
      <c r="D90" s="164">
        <v>0</v>
      </c>
      <c r="E90" s="164">
        <v>0</v>
      </c>
      <c r="F90" s="164">
        <v>0</v>
      </c>
    </row>
    <row r="91" spans="2:11" ht="15.75" thickBot="1" x14ac:dyDescent="0.3">
      <c r="B91" s="66" t="s">
        <v>43</v>
      </c>
      <c r="C91" s="165">
        <f>C90+C89</f>
        <v>2200</v>
      </c>
      <c r="D91" s="165">
        <f t="shared" ref="D91:F91" si="7">D90+D89</f>
        <v>0</v>
      </c>
      <c r="E91" s="165">
        <f t="shared" si="7"/>
        <v>0</v>
      </c>
      <c r="F91" s="165">
        <f t="shared" si="7"/>
        <v>0</v>
      </c>
    </row>
    <row r="92" spans="2:11" x14ac:dyDescent="0.25">
      <c r="B92" s="1015" t="s">
        <v>60</v>
      </c>
      <c r="C92" s="1077"/>
      <c r="D92" s="1078"/>
      <c r="E92" s="1078"/>
      <c r="F92" s="1079"/>
    </row>
    <row r="93" spans="2:11" x14ac:dyDescent="0.25">
      <c r="B93" s="1016"/>
      <c r="C93" s="1080"/>
      <c r="D93" s="1081"/>
      <c r="E93" s="1081"/>
      <c r="F93" s="1082"/>
    </row>
    <row r="94" spans="2:11" ht="15.75" thickBot="1" x14ac:dyDescent="0.3">
      <c r="B94" s="1017"/>
      <c r="C94" s="1083"/>
      <c r="D94" s="1084"/>
      <c r="E94" s="1084"/>
      <c r="F94" s="1085"/>
    </row>
    <row r="95" spans="2:11" ht="15.75" thickBot="1" x14ac:dyDescent="0.3">
      <c r="B95" s="67" t="s">
        <v>79</v>
      </c>
      <c r="C95" s="1009" t="s">
        <v>231</v>
      </c>
      <c r="D95" s="1010"/>
      <c r="E95" s="1010"/>
      <c r="F95" s="1011"/>
    </row>
    <row r="96" spans="2:11" ht="15.75" thickBot="1" x14ac:dyDescent="0.3">
      <c r="B96" s="160" t="s">
        <v>232</v>
      </c>
      <c r="C96" s="1009" t="s">
        <v>231</v>
      </c>
      <c r="D96" s="1010"/>
      <c r="E96" s="1010"/>
      <c r="F96" s="1011"/>
    </row>
    <row r="97" spans="2:11" ht="15.75" thickBot="1" x14ac:dyDescent="0.3">
      <c r="B97" s="62" t="s">
        <v>17</v>
      </c>
      <c r="C97" s="1009" t="s">
        <v>231</v>
      </c>
      <c r="D97" s="1010"/>
      <c r="E97" s="1010"/>
      <c r="F97" s="1011"/>
    </row>
    <row r="98" spans="2:11" ht="15.75" thickBot="1" x14ac:dyDescent="0.3">
      <c r="B98" s="62" t="s">
        <v>18</v>
      </c>
      <c r="C98" s="995" t="s">
        <v>230</v>
      </c>
      <c r="D98" s="996"/>
      <c r="E98" s="996"/>
      <c r="F98" s="997"/>
    </row>
    <row r="99" spans="2:11" x14ac:dyDescent="0.25">
      <c r="B99" s="998"/>
      <c r="C99" s="63">
        <v>2018</v>
      </c>
      <c r="D99" s="63">
        <v>2019</v>
      </c>
      <c r="E99" s="63">
        <v>2020</v>
      </c>
      <c r="F99" s="63">
        <v>2021</v>
      </c>
    </row>
    <row r="100" spans="2:11" ht="15.75" thickBot="1" x14ac:dyDescent="0.3">
      <c r="B100" s="999"/>
      <c r="C100" s="64" t="s">
        <v>10</v>
      </c>
      <c r="D100" s="64" t="s">
        <v>11</v>
      </c>
      <c r="E100" s="64" t="s">
        <v>11</v>
      </c>
      <c r="F100" s="64" t="s">
        <v>11</v>
      </c>
    </row>
    <row r="101" spans="2:11" ht="15.75" thickBot="1" x14ac:dyDescent="0.3">
      <c r="B101" s="62" t="s">
        <v>19</v>
      </c>
      <c r="C101" s="161">
        <v>1</v>
      </c>
      <c r="D101" s="161">
        <v>0</v>
      </c>
      <c r="E101" s="161">
        <v>0</v>
      </c>
      <c r="F101" s="161">
        <v>0</v>
      </c>
    </row>
    <row r="102" spans="2:11" ht="15.75" thickBot="1" x14ac:dyDescent="0.3">
      <c r="B102" s="62" t="s">
        <v>20</v>
      </c>
      <c r="C102" s="161">
        <v>300</v>
      </c>
      <c r="D102" s="161">
        <v>0</v>
      </c>
      <c r="E102" s="161">
        <v>0</v>
      </c>
      <c r="F102" s="161">
        <v>0</v>
      </c>
    </row>
    <row r="103" spans="2:11" ht="15.75" thickBot="1" x14ac:dyDescent="0.3">
      <c r="B103" s="62" t="s">
        <v>21</v>
      </c>
      <c r="C103" s="161">
        <f>C102/C101</f>
        <v>300</v>
      </c>
      <c r="D103" s="161" t="e">
        <f t="shared" ref="D103:F103" si="8">D102/D101</f>
        <v>#DIV/0!</v>
      </c>
      <c r="E103" s="161" t="e">
        <f t="shared" si="8"/>
        <v>#DIV/0!</v>
      </c>
      <c r="F103" s="161" t="e">
        <f t="shared" si="8"/>
        <v>#DIV/0!</v>
      </c>
    </row>
    <row r="104" spans="2:11" ht="15.75" thickBot="1" x14ac:dyDescent="0.3">
      <c r="B104" s="62" t="s">
        <v>22</v>
      </c>
      <c r="C104" s="145" t="s">
        <v>23</v>
      </c>
      <c r="D104" s="162">
        <f>D101/C101-1</f>
        <v>-1</v>
      </c>
      <c r="E104" s="162" t="e">
        <f t="shared" ref="E104:F106" si="9">E101/D101-1</f>
        <v>#DIV/0!</v>
      </c>
      <c r="F104" s="162" t="e">
        <f t="shared" si="9"/>
        <v>#DIV/0!</v>
      </c>
      <c r="G104" s="163"/>
      <c r="H104" s="163"/>
      <c r="I104" s="163"/>
      <c r="J104" s="163"/>
      <c r="K104" s="163"/>
    </row>
    <row r="105" spans="2:11" ht="15.75" thickBot="1" x14ac:dyDescent="0.3">
      <c r="B105" s="62" t="s">
        <v>24</v>
      </c>
      <c r="C105" s="145" t="s">
        <v>23</v>
      </c>
      <c r="D105" s="162">
        <f>D102/C102-1</f>
        <v>-1</v>
      </c>
      <c r="E105" s="162" t="e">
        <f t="shared" si="9"/>
        <v>#DIV/0!</v>
      </c>
      <c r="F105" s="162" t="e">
        <f t="shared" si="9"/>
        <v>#DIV/0!</v>
      </c>
    </row>
    <row r="106" spans="2:11" ht="15.75" thickBot="1" x14ac:dyDescent="0.3">
      <c r="B106" s="62" t="s">
        <v>25</v>
      </c>
      <c r="C106" s="145" t="s">
        <v>23</v>
      </c>
      <c r="D106" s="162" t="e">
        <f>D103/C103-1</f>
        <v>#DIV/0!</v>
      </c>
      <c r="E106" s="162" t="e">
        <f t="shared" si="9"/>
        <v>#DIV/0!</v>
      </c>
      <c r="F106" s="162" t="e">
        <f t="shared" si="9"/>
        <v>#DIV/0!</v>
      </c>
    </row>
    <row r="107" spans="2:11" ht="15.75" thickBot="1" x14ac:dyDescent="0.3">
      <c r="B107" s="1000" t="s">
        <v>787</v>
      </c>
      <c r="C107" s="1001"/>
      <c r="D107" s="1001"/>
      <c r="E107" s="1001"/>
      <c r="F107" s="1002"/>
    </row>
    <row r="108" spans="2:11" x14ac:dyDescent="0.25">
      <c r="B108" s="998"/>
      <c r="C108" s="63">
        <v>2018</v>
      </c>
      <c r="D108" s="63">
        <v>2019</v>
      </c>
      <c r="E108" s="63">
        <v>2020</v>
      </c>
      <c r="F108" s="63">
        <v>2021</v>
      </c>
    </row>
    <row r="109" spans="2:11" ht="15.75" thickBot="1" x14ac:dyDescent="0.3">
      <c r="B109" s="999"/>
      <c r="C109" s="64" t="s">
        <v>10</v>
      </c>
      <c r="D109" s="64" t="s">
        <v>11</v>
      </c>
      <c r="E109" s="64" t="s">
        <v>11</v>
      </c>
      <c r="F109" s="64" t="s">
        <v>11</v>
      </c>
    </row>
    <row r="110" spans="2:11" ht="15.75" thickBot="1" x14ac:dyDescent="0.3">
      <c r="B110" s="65" t="s">
        <v>58</v>
      </c>
      <c r="C110" s="161"/>
      <c r="D110" s="161"/>
      <c r="E110" s="161"/>
      <c r="F110" s="161"/>
    </row>
    <row r="111" spans="2:11" ht="15.75" thickBot="1" x14ac:dyDescent="0.3">
      <c r="B111" s="65" t="s">
        <v>59</v>
      </c>
      <c r="C111" s="165">
        <f>C102</f>
        <v>300</v>
      </c>
      <c r="D111" s="164">
        <v>0</v>
      </c>
      <c r="E111" s="164">
        <v>0</v>
      </c>
      <c r="F111" s="164">
        <v>0</v>
      </c>
    </row>
    <row r="112" spans="2:11" ht="15.75" thickBot="1" x14ac:dyDescent="0.3">
      <c r="B112" s="66" t="s">
        <v>52</v>
      </c>
      <c r="C112" s="165">
        <f>C111+C110</f>
        <v>300</v>
      </c>
      <c r="D112" s="165">
        <f t="shared" ref="D112:F112" si="10">D111+D110</f>
        <v>0</v>
      </c>
      <c r="E112" s="165">
        <f t="shared" si="10"/>
        <v>0</v>
      </c>
      <c r="F112" s="165">
        <f t="shared" si="10"/>
        <v>0</v>
      </c>
    </row>
    <row r="113" spans="2:11" x14ac:dyDescent="0.25">
      <c r="B113" s="1015" t="s">
        <v>60</v>
      </c>
      <c r="C113" s="1077"/>
      <c r="D113" s="1078"/>
      <c r="E113" s="1078"/>
      <c r="F113" s="1079"/>
    </row>
    <row r="114" spans="2:11" x14ac:dyDescent="0.25">
      <c r="B114" s="1016"/>
      <c r="C114" s="1080"/>
      <c r="D114" s="1081"/>
      <c r="E114" s="1081"/>
      <c r="F114" s="1082"/>
    </row>
    <row r="115" spans="2:11" ht="15.75" thickBot="1" x14ac:dyDescent="0.3">
      <c r="B115" s="1017"/>
      <c r="C115" s="1083"/>
      <c r="D115" s="1084"/>
      <c r="E115" s="1084"/>
      <c r="F115" s="1085"/>
    </row>
    <row r="116" spans="2:11" ht="15.75" thickBot="1" x14ac:dyDescent="0.3">
      <c r="B116" s="67" t="s">
        <v>61</v>
      </c>
      <c r="C116" s="992" t="s">
        <v>233</v>
      </c>
      <c r="D116" s="993"/>
      <c r="E116" s="993"/>
      <c r="F116" s="994"/>
    </row>
    <row r="117" spans="2:11" ht="15.75" thickBot="1" x14ac:dyDescent="0.3">
      <c r="B117" s="160" t="s">
        <v>234</v>
      </c>
      <c r="C117" s="992" t="s">
        <v>233</v>
      </c>
      <c r="D117" s="993"/>
      <c r="E117" s="993"/>
      <c r="F117" s="994"/>
    </row>
    <row r="118" spans="2:11" ht="15.75" thickBot="1" x14ac:dyDescent="0.3">
      <c r="B118" s="62" t="s">
        <v>17</v>
      </c>
      <c r="C118" s="983" t="s">
        <v>235</v>
      </c>
      <c r="D118" s="984"/>
      <c r="E118" s="984"/>
      <c r="F118" s="985"/>
    </row>
    <row r="119" spans="2:11" ht="15.75" thickBot="1" x14ac:dyDescent="0.3">
      <c r="B119" s="62" t="s">
        <v>18</v>
      </c>
      <c r="C119" s="995" t="s">
        <v>226</v>
      </c>
      <c r="D119" s="996"/>
      <c r="E119" s="996"/>
      <c r="F119" s="997"/>
    </row>
    <row r="120" spans="2:11" x14ac:dyDescent="0.25">
      <c r="B120" s="998"/>
      <c r="C120" s="63">
        <v>2018</v>
      </c>
      <c r="D120" s="63">
        <v>2019</v>
      </c>
      <c r="E120" s="63">
        <v>2020</v>
      </c>
      <c r="F120" s="63">
        <v>2021</v>
      </c>
    </row>
    <row r="121" spans="2:11" ht="15.75" thickBot="1" x14ac:dyDescent="0.3">
      <c r="B121" s="999"/>
      <c r="C121" s="64" t="s">
        <v>10</v>
      </c>
      <c r="D121" s="64" t="s">
        <v>11</v>
      </c>
      <c r="E121" s="64" t="s">
        <v>11</v>
      </c>
      <c r="F121" s="64" t="s">
        <v>11</v>
      </c>
    </row>
    <row r="122" spans="2:11" ht="15.75" thickBot="1" x14ac:dyDescent="0.3">
      <c r="B122" s="62" t="s">
        <v>19</v>
      </c>
      <c r="C122" s="161">
        <v>30.4</v>
      </c>
      <c r="D122" s="161">
        <v>0</v>
      </c>
      <c r="E122" s="161">
        <v>0</v>
      </c>
      <c r="F122" s="161">
        <v>0</v>
      </c>
    </row>
    <row r="123" spans="2:11" ht="15.75" thickBot="1" x14ac:dyDescent="0.3">
      <c r="B123" s="62" t="s">
        <v>20</v>
      </c>
      <c r="C123" s="161">
        <v>3040</v>
      </c>
      <c r="D123" s="161">
        <v>0</v>
      </c>
      <c r="E123" s="161">
        <v>0</v>
      </c>
      <c r="F123" s="161">
        <v>0</v>
      </c>
    </row>
    <row r="124" spans="2:11" ht="15.75" thickBot="1" x14ac:dyDescent="0.3">
      <c r="B124" s="62" t="s">
        <v>21</v>
      </c>
      <c r="C124" s="161">
        <f>C123/C122</f>
        <v>100</v>
      </c>
      <c r="D124" s="161" t="e">
        <f t="shared" ref="D124:F124" si="11">D123/D122</f>
        <v>#DIV/0!</v>
      </c>
      <c r="E124" s="161" t="e">
        <f t="shared" si="11"/>
        <v>#DIV/0!</v>
      </c>
      <c r="F124" s="161" t="e">
        <f t="shared" si="11"/>
        <v>#DIV/0!</v>
      </c>
    </row>
    <row r="125" spans="2:11" ht="15.75" thickBot="1" x14ac:dyDescent="0.3">
      <c r="B125" s="62" t="s">
        <v>22</v>
      </c>
      <c r="C125" s="145" t="s">
        <v>23</v>
      </c>
      <c r="D125" s="162">
        <f>D122/C122-1</f>
        <v>-1</v>
      </c>
      <c r="E125" s="162" t="e">
        <f t="shared" ref="E125:F127" si="12">E122/D122-1</f>
        <v>#DIV/0!</v>
      </c>
      <c r="F125" s="162" t="e">
        <f t="shared" si="12"/>
        <v>#DIV/0!</v>
      </c>
      <c r="G125" s="163"/>
      <c r="H125" s="163"/>
      <c r="I125" s="163"/>
      <c r="J125" s="163"/>
      <c r="K125" s="163"/>
    </row>
    <row r="126" spans="2:11" ht="15.75" thickBot="1" x14ac:dyDescent="0.3">
      <c r="B126" s="62" t="s">
        <v>24</v>
      </c>
      <c r="C126" s="145" t="s">
        <v>23</v>
      </c>
      <c r="D126" s="162">
        <f>D123/C123-1</f>
        <v>-1</v>
      </c>
      <c r="E126" s="162" t="e">
        <f t="shared" si="12"/>
        <v>#DIV/0!</v>
      </c>
      <c r="F126" s="162" t="e">
        <f t="shared" si="12"/>
        <v>#DIV/0!</v>
      </c>
    </row>
    <row r="127" spans="2:11" ht="15.75" thickBot="1" x14ac:dyDescent="0.3">
      <c r="B127" s="62" t="s">
        <v>25</v>
      </c>
      <c r="C127" s="145" t="s">
        <v>23</v>
      </c>
      <c r="D127" s="162" t="e">
        <f>D124/C124-1</f>
        <v>#DIV/0!</v>
      </c>
      <c r="E127" s="162" t="e">
        <f t="shared" si="12"/>
        <v>#DIV/0!</v>
      </c>
      <c r="F127" s="162" t="e">
        <f t="shared" si="12"/>
        <v>#DIV/0!</v>
      </c>
    </row>
    <row r="128" spans="2:11" ht="15.75" thickBot="1" x14ac:dyDescent="0.3">
      <c r="B128" s="1000" t="s">
        <v>788</v>
      </c>
      <c r="C128" s="1001"/>
      <c r="D128" s="1001"/>
      <c r="E128" s="1001"/>
      <c r="F128" s="1002"/>
    </row>
    <row r="129" spans="2:6" x14ac:dyDescent="0.25">
      <c r="B129" s="998"/>
      <c r="C129" s="63">
        <v>2018</v>
      </c>
      <c r="D129" s="63">
        <v>2019</v>
      </c>
      <c r="E129" s="63">
        <v>2020</v>
      </c>
      <c r="F129" s="63">
        <v>2021</v>
      </c>
    </row>
    <row r="130" spans="2:6" ht="15.75" thickBot="1" x14ac:dyDescent="0.3">
      <c r="B130" s="999"/>
      <c r="C130" s="64" t="s">
        <v>10</v>
      </c>
      <c r="D130" s="64" t="s">
        <v>11</v>
      </c>
      <c r="E130" s="64" t="s">
        <v>11</v>
      </c>
      <c r="F130" s="64" t="s">
        <v>11</v>
      </c>
    </row>
    <row r="131" spans="2:6" ht="15.75" thickBot="1" x14ac:dyDescent="0.3">
      <c r="B131" s="65" t="s">
        <v>58</v>
      </c>
      <c r="C131" s="164"/>
      <c r="D131" s="164"/>
      <c r="E131" s="164"/>
      <c r="F131" s="164"/>
    </row>
    <row r="132" spans="2:6" ht="15.75" thickBot="1" x14ac:dyDescent="0.3">
      <c r="B132" s="65" t="s">
        <v>59</v>
      </c>
      <c r="C132" s="164">
        <f>C123</f>
        <v>3040</v>
      </c>
      <c r="D132" s="164">
        <f>D123</f>
        <v>0</v>
      </c>
      <c r="E132" s="164">
        <f>E123</f>
        <v>0</v>
      </c>
      <c r="F132" s="164">
        <f>F123</f>
        <v>0</v>
      </c>
    </row>
    <row r="133" spans="2:6" ht="15.75" thickBot="1" x14ac:dyDescent="0.3">
      <c r="B133" s="66" t="s">
        <v>54</v>
      </c>
      <c r="C133" s="165">
        <f>C132+C131</f>
        <v>3040</v>
      </c>
      <c r="D133" s="165">
        <f t="shared" ref="D133:F133" si="13">D132+D131</f>
        <v>0</v>
      </c>
      <c r="E133" s="165">
        <f t="shared" si="13"/>
        <v>0</v>
      </c>
      <c r="F133" s="165">
        <f t="shared" si="13"/>
        <v>0</v>
      </c>
    </row>
    <row r="134" spans="2:6" x14ac:dyDescent="0.25">
      <c r="B134" s="1015" t="s">
        <v>62</v>
      </c>
      <c r="C134" s="1077" t="s">
        <v>227</v>
      </c>
      <c r="D134" s="1078"/>
      <c r="E134" s="1078"/>
      <c r="F134" s="1079"/>
    </row>
    <row r="135" spans="2:6" x14ac:dyDescent="0.25">
      <c r="B135" s="1016"/>
      <c r="C135" s="1080"/>
      <c r="D135" s="1081"/>
      <c r="E135" s="1081"/>
      <c r="F135" s="1082"/>
    </row>
    <row r="136" spans="2:6" ht="15.75" thickBot="1" x14ac:dyDescent="0.3">
      <c r="B136" s="1017"/>
      <c r="C136" s="1083"/>
      <c r="D136" s="1084"/>
      <c r="E136" s="1084"/>
      <c r="F136" s="1085"/>
    </row>
    <row r="137" spans="2:6" ht="15.75" thickBot="1" x14ac:dyDescent="0.3">
      <c r="B137" s="67" t="s">
        <v>61</v>
      </c>
      <c r="C137" s="992" t="s">
        <v>236</v>
      </c>
      <c r="D137" s="993"/>
      <c r="E137" s="993"/>
      <c r="F137" s="994"/>
    </row>
    <row r="138" spans="2:6" ht="15.75" thickBot="1" x14ac:dyDescent="0.3">
      <c r="B138" s="160" t="s">
        <v>237</v>
      </c>
      <c r="C138" s="992" t="s">
        <v>238</v>
      </c>
      <c r="D138" s="993"/>
      <c r="E138" s="993"/>
      <c r="F138" s="994"/>
    </row>
    <row r="139" spans="2:6" ht="15.75" thickBot="1" x14ac:dyDescent="0.3">
      <c r="B139" s="62" t="s">
        <v>17</v>
      </c>
      <c r="C139" s="983" t="s">
        <v>238</v>
      </c>
      <c r="D139" s="984"/>
      <c r="E139" s="984"/>
      <c r="F139" s="985"/>
    </row>
    <row r="140" spans="2:6" ht="15.75" thickBot="1" x14ac:dyDescent="0.3">
      <c r="B140" s="62" t="s">
        <v>18</v>
      </c>
      <c r="C140" s="995" t="s">
        <v>73</v>
      </c>
      <c r="D140" s="996"/>
      <c r="E140" s="996"/>
      <c r="F140" s="997"/>
    </row>
    <row r="141" spans="2:6" x14ac:dyDescent="0.25">
      <c r="B141" s="998"/>
      <c r="C141" s="63">
        <v>2018</v>
      </c>
      <c r="D141" s="63">
        <v>2019</v>
      </c>
      <c r="E141" s="63">
        <v>2020</v>
      </c>
      <c r="F141" s="63">
        <v>2021</v>
      </c>
    </row>
    <row r="142" spans="2:6" ht="15.75" thickBot="1" x14ac:dyDescent="0.3">
      <c r="B142" s="999"/>
      <c r="C142" s="64" t="s">
        <v>10</v>
      </c>
      <c r="D142" s="64" t="s">
        <v>11</v>
      </c>
      <c r="E142" s="64" t="s">
        <v>11</v>
      </c>
      <c r="F142" s="64" t="s">
        <v>11</v>
      </c>
    </row>
    <row r="143" spans="2:6" ht="15.75" thickBot="1" x14ac:dyDescent="0.3">
      <c r="B143" s="62" t="s">
        <v>19</v>
      </c>
      <c r="C143" s="161">
        <v>1</v>
      </c>
      <c r="D143" s="161">
        <v>0</v>
      </c>
      <c r="E143" s="161">
        <v>0</v>
      </c>
      <c r="F143" s="161">
        <v>0</v>
      </c>
    </row>
    <row r="144" spans="2:6" ht="15.75" thickBot="1" x14ac:dyDescent="0.3">
      <c r="B144" s="62" t="s">
        <v>20</v>
      </c>
      <c r="C144" s="161">
        <v>2500</v>
      </c>
      <c r="D144" s="161">
        <v>0</v>
      </c>
      <c r="E144" s="161">
        <v>0</v>
      </c>
      <c r="F144" s="161">
        <v>0</v>
      </c>
    </row>
    <row r="145" spans="2:11" ht="15.75" thickBot="1" x14ac:dyDescent="0.3">
      <c r="B145" s="62" t="s">
        <v>21</v>
      </c>
      <c r="C145" s="161">
        <f>C144/C143</f>
        <v>2500</v>
      </c>
      <c r="D145" s="161" t="e">
        <f t="shared" ref="D145:F145" si="14">D144/D143</f>
        <v>#DIV/0!</v>
      </c>
      <c r="E145" s="161" t="e">
        <f t="shared" si="14"/>
        <v>#DIV/0!</v>
      </c>
      <c r="F145" s="161" t="e">
        <f t="shared" si="14"/>
        <v>#DIV/0!</v>
      </c>
    </row>
    <row r="146" spans="2:11" ht="15.75" thickBot="1" x14ac:dyDescent="0.3">
      <c r="B146" s="62" t="s">
        <v>22</v>
      </c>
      <c r="C146" s="145" t="s">
        <v>23</v>
      </c>
      <c r="D146" s="162">
        <f>D143/C143-1</f>
        <v>-1</v>
      </c>
      <c r="E146" s="162" t="e">
        <f t="shared" ref="E146:F148" si="15">E143/D143-1</f>
        <v>#DIV/0!</v>
      </c>
      <c r="F146" s="162" t="e">
        <f t="shared" si="15"/>
        <v>#DIV/0!</v>
      </c>
      <c r="G146" s="163"/>
      <c r="H146" s="163"/>
      <c r="I146" s="163"/>
      <c r="J146" s="163"/>
      <c r="K146" s="163"/>
    </row>
    <row r="147" spans="2:11" ht="15.75" thickBot="1" x14ac:dyDescent="0.3">
      <c r="B147" s="62" t="s">
        <v>24</v>
      </c>
      <c r="C147" s="145" t="s">
        <v>23</v>
      </c>
      <c r="D147" s="162">
        <f>D144/C144-1</f>
        <v>-1</v>
      </c>
      <c r="E147" s="162" t="e">
        <f t="shared" si="15"/>
        <v>#DIV/0!</v>
      </c>
      <c r="F147" s="162" t="e">
        <f t="shared" si="15"/>
        <v>#DIV/0!</v>
      </c>
    </row>
    <row r="148" spans="2:11" ht="15.75" thickBot="1" x14ac:dyDescent="0.3">
      <c r="B148" s="62" t="s">
        <v>25</v>
      </c>
      <c r="C148" s="145" t="s">
        <v>23</v>
      </c>
      <c r="D148" s="162" t="e">
        <f>D145/C145-1</f>
        <v>#DIV/0!</v>
      </c>
      <c r="E148" s="162" t="e">
        <f t="shared" si="15"/>
        <v>#DIV/0!</v>
      </c>
      <c r="F148" s="162" t="e">
        <f t="shared" si="15"/>
        <v>#DIV/0!</v>
      </c>
    </row>
    <row r="149" spans="2:11" ht="15.75" thickBot="1" x14ac:dyDescent="0.3">
      <c r="B149" s="1000" t="s">
        <v>789</v>
      </c>
      <c r="C149" s="1001"/>
      <c r="D149" s="1001"/>
      <c r="E149" s="1001"/>
      <c r="F149" s="1002"/>
    </row>
    <row r="150" spans="2:11" x14ac:dyDescent="0.25">
      <c r="B150" s="998"/>
      <c r="C150" s="63">
        <v>2018</v>
      </c>
      <c r="D150" s="63">
        <v>2019</v>
      </c>
      <c r="E150" s="63">
        <v>2020</v>
      </c>
      <c r="F150" s="63">
        <v>2021</v>
      </c>
    </row>
    <row r="151" spans="2:11" ht="15.75" thickBot="1" x14ac:dyDescent="0.3">
      <c r="B151" s="999"/>
      <c r="C151" s="64" t="s">
        <v>10</v>
      </c>
      <c r="D151" s="64" t="s">
        <v>11</v>
      </c>
      <c r="E151" s="64" t="s">
        <v>11</v>
      </c>
      <c r="F151" s="64" t="s">
        <v>11</v>
      </c>
    </row>
    <row r="152" spans="2:11" ht="15.75" thickBot="1" x14ac:dyDescent="0.3">
      <c r="B152" s="65" t="s">
        <v>58</v>
      </c>
      <c r="C152" s="164"/>
      <c r="D152" s="164"/>
      <c r="E152" s="164"/>
      <c r="F152" s="164"/>
    </row>
    <row r="153" spans="2:11" ht="15.75" thickBot="1" x14ac:dyDescent="0.3">
      <c r="B153" s="65" t="s">
        <v>59</v>
      </c>
      <c r="C153" s="164">
        <f>C144</f>
        <v>2500</v>
      </c>
      <c r="D153" s="164">
        <v>0</v>
      </c>
      <c r="E153" s="164">
        <v>0</v>
      </c>
      <c r="F153" s="164">
        <v>0</v>
      </c>
    </row>
    <row r="154" spans="2:11" ht="15.75" thickBot="1" x14ac:dyDescent="0.3">
      <c r="B154" s="66" t="s">
        <v>121</v>
      </c>
      <c r="C154" s="165">
        <f>C153+C152</f>
        <v>2500</v>
      </c>
      <c r="D154" s="165">
        <f t="shared" ref="D154:F154" si="16">D153+D152</f>
        <v>0</v>
      </c>
      <c r="E154" s="165">
        <f t="shared" si="16"/>
        <v>0</v>
      </c>
      <c r="F154" s="165">
        <f t="shared" si="16"/>
        <v>0</v>
      </c>
    </row>
    <row r="155" spans="2:11" x14ac:dyDescent="0.25">
      <c r="B155" s="1015" t="s">
        <v>62</v>
      </c>
      <c r="C155" s="1077"/>
      <c r="D155" s="1078"/>
      <c r="E155" s="1078"/>
      <c r="F155" s="1079"/>
    </row>
    <row r="156" spans="2:11" x14ac:dyDescent="0.25">
      <c r="B156" s="1016"/>
      <c r="C156" s="1080"/>
      <c r="D156" s="1081"/>
      <c r="E156" s="1081"/>
      <c r="F156" s="1082"/>
    </row>
    <row r="157" spans="2:11" ht="15.75" thickBot="1" x14ac:dyDescent="0.3">
      <c r="B157" s="1017"/>
      <c r="C157" s="1083"/>
      <c r="D157" s="1084"/>
      <c r="E157" s="1084"/>
      <c r="F157" s="1085"/>
    </row>
    <row r="158" spans="2:11" ht="15.75" thickBot="1" x14ac:dyDescent="0.3">
      <c r="B158" s="175"/>
      <c r="C158" s="176"/>
      <c r="D158" s="176"/>
      <c r="E158" s="176"/>
      <c r="F158" s="176"/>
    </row>
    <row r="159" spans="2:11" ht="30.75" thickBot="1" x14ac:dyDescent="0.3">
      <c r="B159" s="158" t="s">
        <v>82</v>
      </c>
      <c r="C159" s="177">
        <f>C26+C58+C123+C81+C102+C144</f>
        <v>67200</v>
      </c>
      <c r="D159" s="177">
        <f>D26+D58+D123+D81+D102+D144</f>
        <v>58200</v>
      </c>
      <c r="E159" s="177">
        <f>E26+E58+E123+E81+E102+E144</f>
        <v>58200</v>
      </c>
      <c r="F159" s="177">
        <f>F26+F58+F123+F81+F102+F144</f>
        <v>59000</v>
      </c>
    </row>
    <row r="160" spans="2:11" ht="30.75" thickBot="1" x14ac:dyDescent="0.3">
      <c r="B160" s="158" t="s">
        <v>83</v>
      </c>
      <c r="C160" s="177">
        <f>C162+C164+C166+C168+C170+C172+C174+C176+C178</f>
        <v>67200</v>
      </c>
      <c r="D160" s="177">
        <f>D162+D164+D166+D168+D170+D172+D174+D176+D178</f>
        <v>58200</v>
      </c>
      <c r="E160" s="177">
        <f>E162+E164+E166+E168+E170+E172+E174+E176+E178</f>
        <v>58200</v>
      </c>
      <c r="F160" s="177">
        <f>F162+F164+F166+F168+F170+F172+F174+F176+F178</f>
        <v>59000</v>
      </c>
    </row>
    <row r="161" spans="2:6" ht="30.75" thickBot="1" x14ac:dyDescent="0.3">
      <c r="B161" s="178" t="s">
        <v>84</v>
      </c>
      <c r="C161" s="179"/>
      <c r="D161" s="180">
        <f>D160/C160-1</f>
        <v>-0.1339285714285714</v>
      </c>
      <c r="E161" s="180">
        <f t="shared" ref="E161:F161" si="17">E160/D160-1</f>
        <v>0</v>
      </c>
      <c r="F161" s="180">
        <f t="shared" si="17"/>
        <v>1.3745704467353903E-2</v>
      </c>
    </row>
    <row r="162" spans="2:6" ht="15.75" thickBot="1" x14ac:dyDescent="0.3">
      <c r="B162" s="65" t="s">
        <v>26</v>
      </c>
      <c r="C162" s="164">
        <f>C34</f>
        <v>49400</v>
      </c>
      <c r="D162" s="164">
        <f>D34</f>
        <v>49400</v>
      </c>
      <c r="E162" s="164">
        <f>E34</f>
        <v>49400</v>
      </c>
      <c r="F162" s="164">
        <f>F34</f>
        <v>50000</v>
      </c>
    </row>
    <row r="163" spans="2:6" ht="15.75" thickBot="1" x14ac:dyDescent="0.3">
      <c r="B163" s="181" t="s">
        <v>85</v>
      </c>
      <c r="C163" s="165"/>
      <c r="D163" s="182">
        <f>D162/C162-1</f>
        <v>0</v>
      </c>
      <c r="E163" s="182">
        <f t="shared" ref="E163:F163" si="18">E162/D162-1</f>
        <v>0</v>
      </c>
      <c r="F163" s="182">
        <f t="shared" si="18"/>
        <v>1.2145748987854255E-2</v>
      </c>
    </row>
    <row r="164" spans="2:6" ht="15.75" thickBot="1" x14ac:dyDescent="0.3">
      <c r="B164" s="65" t="s">
        <v>28</v>
      </c>
      <c r="C164" s="164">
        <f>C35</f>
        <v>4800</v>
      </c>
      <c r="D164" s="164">
        <f>D35</f>
        <v>4800</v>
      </c>
      <c r="E164" s="164">
        <f>E35</f>
        <v>4800</v>
      </c>
      <c r="F164" s="164">
        <f>F35</f>
        <v>5000</v>
      </c>
    </row>
    <row r="165" spans="2:6" ht="30.75" thickBot="1" x14ac:dyDescent="0.3">
      <c r="B165" s="181" t="s">
        <v>86</v>
      </c>
      <c r="C165" s="165"/>
      <c r="D165" s="182">
        <f>D164/C164-1</f>
        <v>0</v>
      </c>
      <c r="E165" s="182">
        <f t="shared" ref="E165:F165" si="19">E164/D164-1</f>
        <v>0</v>
      </c>
      <c r="F165" s="182">
        <f t="shared" si="19"/>
        <v>4.1666666666666741E-2</v>
      </c>
    </row>
    <row r="166" spans="2:6" ht="15.75" thickBot="1" x14ac:dyDescent="0.3">
      <c r="B166" s="65" t="s">
        <v>30</v>
      </c>
      <c r="C166" s="164">
        <f>C36</f>
        <v>4000</v>
      </c>
      <c r="D166" s="164">
        <f>D36</f>
        <v>4000</v>
      </c>
      <c r="E166" s="164">
        <f>E36</f>
        <v>4000</v>
      </c>
      <c r="F166" s="164">
        <f>F36</f>
        <v>4000</v>
      </c>
    </row>
    <row r="167" spans="2:6" ht="15.75" thickBot="1" x14ac:dyDescent="0.3">
      <c r="B167" s="181" t="s">
        <v>87</v>
      </c>
      <c r="C167" s="165"/>
      <c r="D167" s="182">
        <f>D166/C166-1</f>
        <v>0</v>
      </c>
      <c r="E167" s="182">
        <f t="shared" ref="E167:F167" si="20">E166/D166-1</f>
        <v>0</v>
      </c>
      <c r="F167" s="182">
        <f t="shared" si="20"/>
        <v>0</v>
      </c>
    </row>
    <row r="168" spans="2:6" ht="15.75" hidden="1" thickBot="1" x14ac:dyDescent="0.3">
      <c r="B168" s="65" t="s">
        <v>32</v>
      </c>
      <c r="C168" s="164">
        <f>C37</f>
        <v>0</v>
      </c>
      <c r="D168" s="164">
        <f>D37</f>
        <v>0</v>
      </c>
      <c r="E168" s="164">
        <f>E37</f>
        <v>0</v>
      </c>
      <c r="F168" s="164">
        <f>F37</f>
        <v>0</v>
      </c>
    </row>
    <row r="169" spans="2:6" ht="15.75" hidden="1" thickBot="1" x14ac:dyDescent="0.3">
      <c r="B169" s="181" t="s">
        <v>88</v>
      </c>
      <c r="C169" s="165"/>
      <c r="D169" s="182" t="e">
        <f>D168/C168-1</f>
        <v>#DIV/0!</v>
      </c>
      <c r="E169" s="182" t="e">
        <f t="shared" ref="E169:F169" si="21">E168/D168-1</f>
        <v>#DIV/0!</v>
      </c>
      <c r="F169" s="182" t="e">
        <f t="shared" si="21"/>
        <v>#DIV/0!</v>
      </c>
    </row>
    <row r="170" spans="2:6" ht="15.75" hidden="1" thickBot="1" x14ac:dyDescent="0.3">
      <c r="B170" s="65" t="s">
        <v>34</v>
      </c>
      <c r="C170" s="164">
        <f>C38</f>
        <v>0</v>
      </c>
      <c r="D170" s="164">
        <f>D38</f>
        <v>0</v>
      </c>
      <c r="E170" s="164">
        <f>E38</f>
        <v>0</v>
      </c>
      <c r="F170" s="164">
        <f>F38</f>
        <v>0</v>
      </c>
    </row>
    <row r="171" spans="2:6" ht="15.75" hidden="1" thickBot="1" x14ac:dyDescent="0.3">
      <c r="B171" s="181" t="s">
        <v>89</v>
      </c>
      <c r="C171" s="165"/>
      <c r="D171" s="182" t="e">
        <f>D170/C170-1</f>
        <v>#DIV/0!</v>
      </c>
      <c r="E171" s="182" t="e">
        <f t="shared" ref="E171:F171" si="22">E170/D170-1</f>
        <v>#DIV/0!</v>
      </c>
      <c r="F171" s="182" t="e">
        <f t="shared" si="22"/>
        <v>#DIV/0!</v>
      </c>
    </row>
    <row r="172" spans="2:6" ht="15.75" hidden="1" thickBot="1" x14ac:dyDescent="0.3">
      <c r="B172" s="65" t="s">
        <v>36</v>
      </c>
      <c r="C172" s="164">
        <f>C39</f>
        <v>0</v>
      </c>
      <c r="D172" s="164">
        <f>D39</f>
        <v>0</v>
      </c>
      <c r="E172" s="164">
        <f>E39</f>
        <v>0</v>
      </c>
      <c r="F172" s="164">
        <f>F39</f>
        <v>0</v>
      </c>
    </row>
    <row r="173" spans="2:6" ht="15.75" hidden="1" thickBot="1" x14ac:dyDescent="0.3">
      <c r="B173" s="181" t="s">
        <v>90</v>
      </c>
      <c r="C173" s="165"/>
      <c r="D173" s="182" t="e">
        <f>D172/C172-1</f>
        <v>#DIV/0!</v>
      </c>
      <c r="E173" s="182" t="e">
        <f t="shared" ref="E173:F173" si="23">E172/D172-1</f>
        <v>#DIV/0!</v>
      </c>
      <c r="F173" s="182" t="e">
        <f t="shared" si="23"/>
        <v>#DIV/0!</v>
      </c>
    </row>
    <row r="174" spans="2:6" ht="15.75" hidden="1" thickBot="1" x14ac:dyDescent="0.3">
      <c r="B174" s="65" t="s">
        <v>38</v>
      </c>
      <c r="C174" s="164">
        <f>C40</f>
        <v>0</v>
      </c>
      <c r="D174" s="164">
        <f>D40</f>
        <v>0</v>
      </c>
      <c r="E174" s="164">
        <f>E40</f>
        <v>0</v>
      </c>
      <c r="F174" s="164">
        <f>F40</f>
        <v>0</v>
      </c>
    </row>
    <row r="175" spans="2:6" ht="30.75" hidden="1" thickBot="1" x14ac:dyDescent="0.3">
      <c r="B175" s="181" t="s">
        <v>91</v>
      </c>
      <c r="C175" s="165"/>
      <c r="D175" s="182" t="e">
        <f>D174/C174-1</f>
        <v>#DIV/0!</v>
      </c>
      <c r="E175" s="182" t="e">
        <f t="shared" ref="E175:F175" si="24">E174/D174-1</f>
        <v>#DIV/0!</v>
      </c>
      <c r="F175" s="182" t="e">
        <f t="shared" si="24"/>
        <v>#DIV/0!</v>
      </c>
    </row>
    <row r="176" spans="2:6" ht="15.75" thickBot="1" x14ac:dyDescent="0.3">
      <c r="B176" s="65" t="s">
        <v>92</v>
      </c>
      <c r="C176" s="164">
        <f>C66+C131</f>
        <v>0</v>
      </c>
      <c r="D176" s="164">
        <f>D66+D131</f>
        <v>0</v>
      </c>
      <c r="E176" s="164">
        <f>E66+E131</f>
        <v>0</v>
      </c>
      <c r="F176" s="164">
        <f>F66+F131</f>
        <v>0</v>
      </c>
    </row>
    <row r="177" spans="2:6" ht="15.75" thickBot="1" x14ac:dyDescent="0.3">
      <c r="B177" s="181" t="s">
        <v>93</v>
      </c>
      <c r="C177" s="165"/>
      <c r="D177" s="182" t="e">
        <f>D176/C176-1</f>
        <v>#DIV/0!</v>
      </c>
      <c r="E177" s="182" t="e">
        <f t="shared" ref="E177:F177" si="25">E176/D176-1</f>
        <v>#DIV/0!</v>
      </c>
      <c r="F177" s="182" t="e">
        <f t="shared" si="25"/>
        <v>#DIV/0!</v>
      </c>
    </row>
    <row r="178" spans="2:6" ht="15.75" thickBot="1" x14ac:dyDescent="0.3">
      <c r="B178" s="65" t="s">
        <v>94</v>
      </c>
      <c r="C178" s="164">
        <f>C67+C132+C90+C111+C153</f>
        <v>9000</v>
      </c>
      <c r="D178" s="164">
        <f>D67+D132+D90+D111+D153</f>
        <v>0</v>
      </c>
      <c r="E178" s="164">
        <f>E67+E132+E90+E111+E153</f>
        <v>0</v>
      </c>
      <c r="F178" s="164">
        <f>F67+F132+F90+F111+F153</f>
        <v>0</v>
      </c>
    </row>
    <row r="179" spans="2:6" ht="15.75" thickBot="1" x14ac:dyDescent="0.3">
      <c r="B179" s="181" t="s">
        <v>95</v>
      </c>
      <c r="C179" s="165"/>
      <c r="D179" s="182">
        <f>D178/C178-1</f>
        <v>-1</v>
      </c>
      <c r="E179" s="182" t="e">
        <f t="shared" ref="E179:F179" si="26">E178/D178-1</f>
        <v>#DIV/0!</v>
      </c>
      <c r="F179" s="182" t="e">
        <f t="shared" si="26"/>
        <v>#DIV/0!</v>
      </c>
    </row>
    <row r="180" spans="2:6" x14ac:dyDescent="0.25">
      <c r="B180" s="1220" t="s">
        <v>790</v>
      </c>
      <c r="C180" s="1223"/>
      <c r="D180" s="1223"/>
      <c r="E180" s="1223"/>
      <c r="F180" s="1224"/>
    </row>
    <row r="181" spans="2:6" x14ac:dyDescent="0.25">
      <c r="B181" s="1221"/>
      <c r="C181" s="1225"/>
      <c r="D181" s="1225"/>
      <c r="E181" s="1225"/>
      <c r="F181" s="1226"/>
    </row>
    <row r="182" spans="2:6" ht="15.75" thickBot="1" x14ac:dyDescent="0.3">
      <c r="B182" s="1222"/>
      <c r="C182" s="1227"/>
      <c r="D182" s="1227"/>
      <c r="E182" s="1227"/>
      <c r="F182" s="1228"/>
    </row>
    <row r="183" spans="2:6" ht="15.75" thickBot="1" x14ac:dyDescent="0.3">
      <c r="B183" s="166" t="s">
        <v>41</v>
      </c>
      <c r="C183" s="167">
        <f>IF(C160-C159=0,0,"Error")</f>
        <v>0</v>
      </c>
      <c r="D183" s="167">
        <f>IF(D160-D159=0,0,"Error")</f>
        <v>0</v>
      </c>
      <c r="E183" s="167">
        <f t="shared" ref="E183:F183" si="27">IF(E160-E159=0,0,"Error")</f>
        <v>0</v>
      </c>
      <c r="F183" s="167">
        <f t="shared" si="27"/>
        <v>0</v>
      </c>
    </row>
    <row r="184" spans="2:6" ht="30.75" thickBot="1" x14ac:dyDescent="0.3">
      <c r="B184" s="183" t="s">
        <v>96</v>
      </c>
      <c r="C184" s="164">
        <v>26</v>
      </c>
      <c r="D184" s="164">
        <v>31</v>
      </c>
      <c r="E184" s="164">
        <v>31</v>
      </c>
      <c r="F184" s="164">
        <v>31</v>
      </c>
    </row>
    <row r="185" spans="2:6" ht="30.75" thickBot="1" x14ac:dyDescent="0.3">
      <c r="B185" s="183" t="s">
        <v>97</v>
      </c>
      <c r="C185" s="164">
        <v>0</v>
      </c>
      <c r="D185" s="164">
        <v>0</v>
      </c>
      <c r="E185" s="164">
        <v>0</v>
      </c>
      <c r="F185" s="164">
        <v>0</v>
      </c>
    </row>
    <row r="186" spans="2:6" x14ac:dyDescent="0.25">
      <c r="B186" s="184"/>
      <c r="C186" s="185"/>
      <c r="D186" s="185"/>
      <c r="E186" s="185"/>
      <c r="F186" s="185"/>
    </row>
    <row r="187" spans="2:6" x14ac:dyDescent="0.25">
      <c r="B187" s="184"/>
      <c r="C187" s="185"/>
      <c r="D187" s="185"/>
      <c r="E187" s="185"/>
      <c r="F187" s="185"/>
    </row>
  </sheetData>
  <mergeCells count="74">
    <mergeCell ref="B7:F7"/>
    <mergeCell ref="A2:F2"/>
    <mergeCell ref="B3:F3"/>
    <mergeCell ref="C4:F4"/>
    <mergeCell ref="C5:F5"/>
    <mergeCell ref="C6:F6"/>
    <mergeCell ref="B23:B24"/>
    <mergeCell ref="B8:F10"/>
    <mergeCell ref="C11:F11"/>
    <mergeCell ref="B12:B13"/>
    <mergeCell ref="G14:H14"/>
    <mergeCell ref="C15:F15"/>
    <mergeCell ref="B16:F16"/>
    <mergeCell ref="B18:F18"/>
    <mergeCell ref="B19:F19"/>
    <mergeCell ref="C20:F20"/>
    <mergeCell ref="C21:F21"/>
    <mergeCell ref="C22:F22"/>
    <mergeCell ref="C54:F54"/>
    <mergeCell ref="B31:F31"/>
    <mergeCell ref="B32:B33"/>
    <mergeCell ref="B42:B44"/>
    <mergeCell ref="C42:F44"/>
    <mergeCell ref="C46:F46"/>
    <mergeCell ref="B47:F47"/>
    <mergeCell ref="B49:F49"/>
    <mergeCell ref="B50:F50"/>
    <mergeCell ref="C51:F51"/>
    <mergeCell ref="C52:F52"/>
    <mergeCell ref="C53:F53"/>
    <mergeCell ref="B78:B79"/>
    <mergeCell ref="B86:F86"/>
    <mergeCell ref="B55:B56"/>
    <mergeCell ref="B63:F63"/>
    <mergeCell ref="B64:B65"/>
    <mergeCell ref="B69:B71"/>
    <mergeCell ref="C69:F71"/>
    <mergeCell ref="B73:F73"/>
    <mergeCell ref="C97:F97"/>
    <mergeCell ref="C74:F74"/>
    <mergeCell ref="C75:F75"/>
    <mergeCell ref="C76:F76"/>
    <mergeCell ref="C77:F77"/>
    <mergeCell ref="B87:B88"/>
    <mergeCell ref="B92:B94"/>
    <mergeCell ref="C92:F94"/>
    <mergeCell ref="C95:F95"/>
    <mergeCell ref="C96:F96"/>
    <mergeCell ref="B120:B121"/>
    <mergeCell ref="B128:F128"/>
    <mergeCell ref="C98:F98"/>
    <mergeCell ref="B99:B100"/>
    <mergeCell ref="B107:F107"/>
    <mergeCell ref="B108:B109"/>
    <mergeCell ref="B113:B115"/>
    <mergeCell ref="C113:F115"/>
    <mergeCell ref="C139:F139"/>
    <mergeCell ref="C116:F116"/>
    <mergeCell ref="C117:F117"/>
    <mergeCell ref="C118:F118"/>
    <mergeCell ref="C119:F119"/>
    <mergeCell ref="B129:B130"/>
    <mergeCell ref="B134:B136"/>
    <mergeCell ref="C134:F136"/>
    <mergeCell ref="C137:F137"/>
    <mergeCell ref="C138:F138"/>
    <mergeCell ref="B180:B182"/>
    <mergeCell ref="C180:F182"/>
    <mergeCell ref="C140:F140"/>
    <mergeCell ref="B141:B142"/>
    <mergeCell ref="B149:F149"/>
    <mergeCell ref="B150:B151"/>
    <mergeCell ref="B155:B157"/>
    <mergeCell ref="C155:F157"/>
  </mergeCells>
  <pageMargins left="0.11811023622047245" right="0.11811023622047245" top="0.15748031496062992" bottom="0.19685039370078741"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400"/>
  <sheetViews>
    <sheetView topLeftCell="A364" zoomScale="120" zoomScaleNormal="120" workbookViewId="0">
      <selection activeCell="A3" sqref="A3:XFD3"/>
    </sheetView>
  </sheetViews>
  <sheetFormatPr defaultRowHeight="15" x14ac:dyDescent="0.25"/>
  <cols>
    <col min="1" max="1" width="12" style="152" customWidth="1"/>
    <col min="2" max="2" width="41.5703125" style="152" customWidth="1"/>
    <col min="3" max="3" width="15.85546875" style="152" customWidth="1"/>
    <col min="4" max="4" width="15.28515625" style="152" customWidth="1"/>
    <col min="5" max="5" width="15" style="152" customWidth="1"/>
    <col min="6" max="6" width="21" style="152" customWidth="1"/>
    <col min="7" max="8" width="9.140625" style="152"/>
    <col min="9" max="9" width="11" style="152" customWidth="1"/>
    <col min="10" max="10" width="11" style="152" bestFit="1" customWidth="1"/>
    <col min="11" max="16384" width="9.140625" style="152"/>
  </cols>
  <sheetData>
    <row r="2" spans="1:7" ht="18" customHeight="1" x14ac:dyDescent="0.25">
      <c r="A2" s="762" t="s">
        <v>126</v>
      </c>
      <c r="B2" s="762"/>
      <c r="C2" s="762"/>
      <c r="D2" s="762"/>
      <c r="E2" s="762"/>
      <c r="F2" s="762"/>
      <c r="G2" s="1"/>
    </row>
    <row r="3" spans="1:7" ht="15.75" thickBot="1" x14ac:dyDescent="0.3"/>
    <row r="4" spans="1:7" ht="15.75" thickBot="1" x14ac:dyDescent="0.3">
      <c r="B4" s="153" t="s">
        <v>2</v>
      </c>
      <c r="C4" s="979" t="s">
        <v>835</v>
      </c>
      <c r="D4" s="979"/>
      <c r="E4" s="979"/>
      <c r="F4" s="979"/>
    </row>
    <row r="5" spans="1:7" ht="15.75" thickBot="1" x14ac:dyDescent="0.3">
      <c r="B5" s="153" t="s">
        <v>3</v>
      </c>
      <c r="C5" s="1048" t="s">
        <v>153</v>
      </c>
      <c r="D5" s="981"/>
      <c r="E5" s="981"/>
      <c r="F5" s="982"/>
    </row>
    <row r="6" spans="1:7" ht="15.75" thickBot="1" x14ac:dyDescent="0.3">
      <c r="B6" s="153" t="s">
        <v>5</v>
      </c>
      <c r="C6" s="983" t="s">
        <v>6</v>
      </c>
      <c r="D6" s="984"/>
      <c r="E6" s="984"/>
      <c r="F6" s="985"/>
    </row>
    <row r="7" spans="1:7" ht="15.75" thickBot="1" x14ac:dyDescent="0.3">
      <c r="B7" s="986" t="s">
        <v>7</v>
      </c>
      <c r="C7" s="987"/>
      <c r="D7" s="987"/>
      <c r="E7" s="987"/>
      <c r="F7" s="988"/>
    </row>
    <row r="8" spans="1:7" ht="15.75" thickBot="1" x14ac:dyDescent="0.3">
      <c r="B8" s="1003" t="s">
        <v>836</v>
      </c>
      <c r="C8" s="1004"/>
      <c r="D8" s="1004"/>
      <c r="E8" s="1004"/>
      <c r="F8" s="1005"/>
    </row>
    <row r="9" spans="1:7" ht="36.75" customHeight="1" thickBot="1" x14ac:dyDescent="0.3">
      <c r="B9" s="1003"/>
      <c r="C9" s="1004"/>
      <c r="D9" s="1004"/>
      <c r="E9" s="1004"/>
      <c r="F9" s="1005"/>
    </row>
    <row r="10" spans="1:7" ht="15.75" thickBot="1" x14ac:dyDescent="0.3">
      <c r="B10" s="1003"/>
      <c r="C10" s="1004"/>
      <c r="D10" s="1004"/>
      <c r="E10" s="1004"/>
      <c r="F10" s="1005"/>
    </row>
    <row r="11" spans="1:7" ht="74.25" customHeight="1" thickBot="1" x14ac:dyDescent="0.3">
      <c r="B11" s="154" t="s">
        <v>8</v>
      </c>
      <c r="C11" s="1316" t="s">
        <v>837</v>
      </c>
      <c r="D11" s="1317"/>
      <c r="E11" s="1317"/>
      <c r="F11" s="1318"/>
    </row>
    <row r="12" spans="1:7" ht="23.25" customHeight="1" x14ac:dyDescent="0.25">
      <c r="B12" s="998" t="s">
        <v>9</v>
      </c>
      <c r="C12" s="155">
        <v>2018</v>
      </c>
      <c r="D12" s="155">
        <v>2019</v>
      </c>
      <c r="E12" s="155">
        <v>2020</v>
      </c>
      <c r="F12" s="155">
        <v>2021</v>
      </c>
    </row>
    <row r="13" spans="1:7" ht="15.75" thickBot="1" x14ac:dyDescent="0.3">
      <c r="B13" s="999"/>
      <c r="C13" s="156" t="s">
        <v>10</v>
      </c>
      <c r="D13" s="156" t="s">
        <v>11</v>
      </c>
      <c r="E13" s="156" t="s">
        <v>11</v>
      </c>
      <c r="F13" s="156" t="s">
        <v>11</v>
      </c>
    </row>
    <row r="14" spans="1:7" ht="75.75" thickBot="1" x14ac:dyDescent="0.3">
      <c r="B14" s="146" t="s">
        <v>838</v>
      </c>
      <c r="C14" s="157">
        <v>0</v>
      </c>
      <c r="D14" s="157">
        <v>0</v>
      </c>
      <c r="E14" s="157">
        <v>0</v>
      </c>
      <c r="F14" s="157">
        <v>0</v>
      </c>
    </row>
    <row r="15" spans="1:7" ht="15.75" thickBot="1" x14ac:dyDescent="0.3">
      <c r="B15" s="62"/>
      <c r="C15" s="157"/>
      <c r="D15" s="157"/>
      <c r="E15" s="157"/>
      <c r="F15" s="157"/>
    </row>
    <row r="16" spans="1:7" ht="15.75" thickBot="1" x14ac:dyDescent="0.3">
      <c r="B16" s="62"/>
      <c r="C16" s="157"/>
      <c r="D16" s="157"/>
      <c r="E16" s="157"/>
      <c r="F16" s="157"/>
    </row>
    <row r="17" spans="2:12" ht="59.25" customHeight="1" thickBot="1" x14ac:dyDescent="0.3">
      <c r="B17" s="158" t="s">
        <v>12</v>
      </c>
      <c r="C17" s="1319" t="s">
        <v>839</v>
      </c>
      <c r="D17" s="1316"/>
      <c r="E17" s="1316"/>
      <c r="F17" s="1320"/>
    </row>
    <row r="18" spans="2:12" ht="23.25" customHeight="1" thickBot="1" x14ac:dyDescent="0.3">
      <c r="B18" s="983" t="s">
        <v>13</v>
      </c>
      <c r="C18" s="984"/>
      <c r="D18" s="984"/>
      <c r="E18" s="984"/>
      <c r="F18" s="985"/>
      <c r="I18" s="159"/>
      <c r="K18" s="159"/>
    </row>
    <row r="19" spans="2:12" ht="45.75" thickBot="1" x14ac:dyDescent="0.3">
      <c r="B19" s="238" t="s">
        <v>840</v>
      </c>
      <c r="C19" s="157">
        <v>1</v>
      </c>
      <c r="D19" s="157">
        <v>1</v>
      </c>
      <c r="E19" s="157">
        <v>1</v>
      </c>
      <c r="F19" s="157">
        <v>1</v>
      </c>
      <c r="H19" s="384"/>
    </row>
    <row r="20" spans="2:12" ht="45.75" thickBot="1" x14ac:dyDescent="0.3">
      <c r="B20" s="385" t="s">
        <v>841</v>
      </c>
      <c r="C20" s="157">
        <v>0.23</v>
      </c>
      <c r="D20" s="157">
        <v>0.25</v>
      </c>
      <c r="E20" s="157">
        <v>0.27800000000000002</v>
      </c>
      <c r="F20" s="157">
        <v>0.3</v>
      </c>
    </row>
    <row r="21" spans="2:12" ht="15.75" thickBot="1" x14ac:dyDescent="0.3">
      <c r="B21" s="62" t="s">
        <v>115</v>
      </c>
      <c r="C21" s="157" t="s">
        <v>116</v>
      </c>
      <c r="D21" s="157" t="s">
        <v>117</v>
      </c>
      <c r="E21" s="157" t="s">
        <v>117</v>
      </c>
      <c r="F21" s="157" t="s">
        <v>117</v>
      </c>
    </row>
    <row r="22" spans="2:12" ht="15.75" thickBot="1" x14ac:dyDescent="0.3">
      <c r="B22" s="989" t="s">
        <v>14</v>
      </c>
      <c r="C22" s="990"/>
      <c r="D22" s="990"/>
      <c r="E22" s="990"/>
      <c r="F22" s="991"/>
    </row>
    <row r="23" spans="2:12" ht="15.75" thickBot="1" x14ac:dyDescent="0.3">
      <c r="B23" s="989" t="s">
        <v>15</v>
      </c>
      <c r="C23" s="990"/>
      <c r="D23" s="990"/>
      <c r="E23" s="990"/>
      <c r="F23" s="991"/>
    </row>
    <row r="24" spans="2:12" ht="15.75" thickBot="1" x14ac:dyDescent="0.3">
      <c r="B24" s="160" t="s">
        <v>16</v>
      </c>
      <c r="C24" s="992" t="s">
        <v>842</v>
      </c>
      <c r="D24" s="993"/>
      <c r="E24" s="993"/>
      <c r="F24" s="994"/>
    </row>
    <row r="25" spans="2:12" ht="42" customHeight="1" thickBot="1" x14ac:dyDescent="0.3">
      <c r="B25" s="62" t="s">
        <v>17</v>
      </c>
      <c r="C25" s="1306" t="s">
        <v>848</v>
      </c>
      <c r="D25" s="1307"/>
      <c r="E25" s="1307"/>
      <c r="F25" s="1308"/>
    </row>
    <row r="26" spans="2:12" ht="15.75" thickBot="1" x14ac:dyDescent="0.3">
      <c r="B26" s="62" t="s">
        <v>18</v>
      </c>
      <c r="C26" s="995" t="s">
        <v>843</v>
      </c>
      <c r="D26" s="996"/>
      <c r="E26" s="996"/>
      <c r="F26" s="997"/>
    </row>
    <row r="27" spans="2:12" ht="12.75" customHeight="1" x14ac:dyDescent="0.25">
      <c r="B27" s="998"/>
      <c r="C27" s="63">
        <v>2018</v>
      </c>
      <c r="D27" s="63">
        <v>2019</v>
      </c>
      <c r="E27" s="63">
        <v>2020</v>
      </c>
      <c r="F27" s="63">
        <v>2021</v>
      </c>
    </row>
    <row r="28" spans="2:12" ht="26.25" customHeight="1" thickBot="1" x14ac:dyDescent="0.3">
      <c r="B28" s="999"/>
      <c r="C28" s="64" t="s">
        <v>10</v>
      </c>
      <c r="D28" s="64" t="s">
        <v>11</v>
      </c>
      <c r="E28" s="64" t="s">
        <v>11</v>
      </c>
      <c r="F28" s="64" t="s">
        <v>11</v>
      </c>
    </row>
    <row r="29" spans="2:12" ht="15.75" thickBot="1" x14ac:dyDescent="0.3">
      <c r="B29" s="62" t="s">
        <v>19</v>
      </c>
      <c r="C29" s="308">
        <v>977</v>
      </c>
      <c r="D29" s="308">
        <v>1000</v>
      </c>
      <c r="E29" s="308">
        <v>1050</v>
      </c>
      <c r="F29" s="308">
        <v>1100</v>
      </c>
      <c r="G29" s="348"/>
    </row>
    <row r="30" spans="2:12" s="348" customFormat="1" ht="15.75" thickBot="1" x14ac:dyDescent="0.3">
      <c r="B30" s="62" t="s">
        <v>20</v>
      </c>
      <c r="C30" s="161">
        <v>91000</v>
      </c>
      <c r="D30" s="161">
        <v>91000</v>
      </c>
      <c r="E30" s="161">
        <v>91000</v>
      </c>
      <c r="F30" s="161">
        <v>92000</v>
      </c>
    </row>
    <row r="31" spans="2:12" ht="15.75" thickBot="1" x14ac:dyDescent="0.3">
      <c r="B31" s="62" t="s">
        <v>21</v>
      </c>
      <c r="C31" s="161">
        <f>C30/C29</f>
        <v>93.142272262026609</v>
      </c>
      <c r="D31" s="161">
        <f t="shared" ref="D31:F31" si="0">D30/D29</f>
        <v>91</v>
      </c>
      <c r="E31" s="161">
        <f t="shared" si="0"/>
        <v>86.666666666666671</v>
      </c>
      <c r="F31" s="161">
        <f t="shared" si="0"/>
        <v>83.63636363636364</v>
      </c>
      <c r="G31" s="348"/>
    </row>
    <row r="32" spans="2:12" ht="15.75" thickBot="1" x14ac:dyDescent="0.3">
      <c r="B32" s="62" t="s">
        <v>22</v>
      </c>
      <c r="C32" s="145" t="s">
        <v>23</v>
      </c>
      <c r="D32" s="162">
        <f>D29/C29-1</f>
        <v>2.3541453428863823E-2</v>
      </c>
      <c r="E32" s="162">
        <f t="shared" ref="E32:F34" si="1">E29/D29-1</f>
        <v>5.0000000000000044E-2</v>
      </c>
      <c r="F32" s="162">
        <f t="shared" si="1"/>
        <v>4.7619047619047672E-2</v>
      </c>
      <c r="H32" s="163"/>
      <c r="I32" s="163"/>
      <c r="J32" s="163"/>
      <c r="K32" s="163"/>
      <c r="L32" s="163"/>
    </row>
    <row r="33" spans="2:6" ht="15.75" thickBot="1" x14ac:dyDescent="0.3">
      <c r="B33" s="62" t="s">
        <v>24</v>
      </c>
      <c r="C33" s="145" t="s">
        <v>23</v>
      </c>
      <c r="D33" s="162">
        <f>D30/C30-1</f>
        <v>0</v>
      </c>
      <c r="E33" s="162">
        <f t="shared" si="1"/>
        <v>0</v>
      </c>
      <c r="F33" s="162">
        <f t="shared" si="1"/>
        <v>1.098901098901095E-2</v>
      </c>
    </row>
    <row r="34" spans="2:6" ht="15.75" thickBot="1" x14ac:dyDescent="0.3">
      <c r="B34" s="62" t="s">
        <v>25</v>
      </c>
      <c r="C34" s="145" t="s">
        <v>23</v>
      </c>
      <c r="D34" s="162">
        <f>D31/C31-1</f>
        <v>-2.2999999999999909E-2</v>
      </c>
      <c r="E34" s="162">
        <f t="shared" si="1"/>
        <v>-4.7619047619047561E-2</v>
      </c>
      <c r="F34" s="162">
        <f t="shared" si="1"/>
        <v>-3.4965034965035002E-2</v>
      </c>
    </row>
    <row r="35" spans="2:6" ht="15.75" thickBot="1" x14ac:dyDescent="0.3">
      <c r="B35" s="1000" t="s">
        <v>784</v>
      </c>
      <c r="C35" s="1001"/>
      <c r="D35" s="1001"/>
      <c r="E35" s="1001"/>
      <c r="F35" s="1002"/>
    </row>
    <row r="36" spans="2:6" ht="12.75" customHeight="1" x14ac:dyDescent="0.25">
      <c r="B36" s="998"/>
      <c r="C36" s="63">
        <v>2018</v>
      </c>
      <c r="D36" s="63">
        <v>2019</v>
      </c>
      <c r="E36" s="63">
        <v>2020</v>
      </c>
      <c r="F36" s="63">
        <v>2021</v>
      </c>
    </row>
    <row r="37" spans="2:6" ht="22.5" customHeight="1" thickBot="1" x14ac:dyDescent="0.3">
      <c r="B37" s="999"/>
      <c r="C37" s="64" t="s">
        <v>10</v>
      </c>
      <c r="D37" s="64" t="s">
        <v>11</v>
      </c>
      <c r="E37" s="64" t="s">
        <v>11</v>
      </c>
      <c r="F37" s="64" t="s">
        <v>11</v>
      </c>
    </row>
    <row r="38" spans="2:6" ht="15.75" thickBot="1" x14ac:dyDescent="0.3">
      <c r="B38" s="65" t="s">
        <v>26</v>
      </c>
      <c r="C38" s="164">
        <v>53500</v>
      </c>
      <c r="D38" s="164">
        <v>53500</v>
      </c>
      <c r="E38" s="164">
        <v>53500</v>
      </c>
      <c r="F38" s="164">
        <v>53500</v>
      </c>
    </row>
    <row r="39" spans="2:6" ht="30.75" thickBot="1" x14ac:dyDescent="0.3">
      <c r="B39" s="181" t="s">
        <v>27</v>
      </c>
      <c r="C39" s="165"/>
      <c r="D39" s="288"/>
      <c r="E39" s="288"/>
      <c r="F39" s="288"/>
    </row>
    <row r="40" spans="2:6" ht="30.75" thickBot="1" x14ac:dyDescent="0.3">
      <c r="B40" s="181" t="s">
        <v>817</v>
      </c>
      <c r="C40" s="165"/>
      <c r="D40" s="182"/>
      <c r="E40" s="182"/>
      <c r="F40" s="182"/>
    </row>
    <row r="41" spans="2:6" ht="15.75" thickBot="1" x14ac:dyDescent="0.3">
      <c r="B41" s="65" t="s">
        <v>28</v>
      </c>
      <c r="C41" s="164">
        <v>10500</v>
      </c>
      <c r="D41" s="164">
        <v>10500</v>
      </c>
      <c r="E41" s="164">
        <v>10500</v>
      </c>
      <c r="F41" s="164">
        <v>10500</v>
      </c>
    </row>
    <row r="42" spans="2:6" ht="45.75" thickBot="1" x14ac:dyDescent="0.3">
      <c r="B42" s="181" t="s">
        <v>29</v>
      </c>
      <c r="C42" s="165"/>
      <c r="D42" s="164"/>
      <c r="E42" s="164"/>
      <c r="F42" s="164"/>
    </row>
    <row r="43" spans="2:6" ht="45.75" thickBot="1" x14ac:dyDescent="0.3">
      <c r="B43" s="181" t="s">
        <v>818</v>
      </c>
      <c r="C43" s="165"/>
      <c r="D43" s="164"/>
      <c r="E43" s="164"/>
      <c r="F43" s="164"/>
    </row>
    <row r="44" spans="2:6" ht="15.75" thickBot="1" x14ac:dyDescent="0.3">
      <c r="B44" s="65" t="s">
        <v>30</v>
      </c>
      <c r="C44" s="165">
        <v>26580</v>
      </c>
      <c r="D44" s="165">
        <v>26580</v>
      </c>
      <c r="E44" s="165">
        <v>26580</v>
      </c>
      <c r="F44" s="164">
        <v>27580</v>
      </c>
    </row>
    <row r="45" spans="2:6" ht="30.75" thickBot="1" x14ac:dyDescent="0.3">
      <c r="B45" s="181" t="s">
        <v>31</v>
      </c>
      <c r="C45" s="165"/>
      <c r="D45" s="164">
        <v>0</v>
      </c>
      <c r="E45" s="164">
        <f>D45*1.03</f>
        <v>0</v>
      </c>
      <c r="F45" s="164">
        <f>E45*1.03</f>
        <v>0</v>
      </c>
    </row>
    <row r="46" spans="2:6" ht="30.75" thickBot="1" x14ac:dyDescent="0.3">
      <c r="B46" s="181" t="s">
        <v>819</v>
      </c>
      <c r="C46" s="165"/>
      <c r="D46" s="164">
        <v>0</v>
      </c>
      <c r="E46" s="164">
        <v>0</v>
      </c>
      <c r="F46" s="164">
        <v>0</v>
      </c>
    </row>
    <row r="47" spans="2:6" ht="15.75" thickBot="1" x14ac:dyDescent="0.3">
      <c r="B47" s="65" t="s">
        <v>32</v>
      </c>
      <c r="C47" s="165"/>
      <c r="D47" s="164"/>
      <c r="E47" s="164"/>
      <c r="F47" s="164"/>
    </row>
    <row r="48" spans="2:6" ht="30.75" thickBot="1" x14ac:dyDescent="0.3">
      <c r="B48" s="181" t="s">
        <v>33</v>
      </c>
      <c r="C48" s="165"/>
      <c r="D48" s="164"/>
      <c r="E48" s="164"/>
      <c r="F48" s="164"/>
    </row>
    <row r="49" spans="2:17" ht="30.75" thickBot="1" x14ac:dyDescent="0.3">
      <c r="B49" s="181" t="s">
        <v>820</v>
      </c>
      <c r="C49" s="165"/>
      <c r="D49" s="164"/>
      <c r="E49" s="164"/>
      <c r="F49" s="164"/>
    </row>
    <row r="50" spans="2:17" ht="15.75" thickBot="1" x14ac:dyDescent="0.3">
      <c r="B50" s="65" t="s">
        <v>34</v>
      </c>
      <c r="C50" s="165"/>
      <c r="D50" s="164"/>
      <c r="E50" s="164"/>
      <c r="F50" s="164"/>
    </row>
    <row r="51" spans="2:17" ht="30.75" thickBot="1" x14ac:dyDescent="0.3">
      <c r="B51" s="181" t="s">
        <v>35</v>
      </c>
      <c r="C51" s="165"/>
      <c r="D51" s="164"/>
      <c r="E51" s="164"/>
      <c r="F51" s="164"/>
    </row>
    <row r="52" spans="2:17" ht="30.75" thickBot="1" x14ac:dyDescent="0.3">
      <c r="B52" s="181" t="s">
        <v>821</v>
      </c>
      <c r="C52" s="165"/>
      <c r="D52" s="164"/>
      <c r="E52" s="164"/>
      <c r="F52" s="164"/>
    </row>
    <row r="53" spans="2:17" ht="15.75" thickBot="1" x14ac:dyDescent="0.3">
      <c r="B53" s="65" t="s">
        <v>36</v>
      </c>
      <c r="C53" s="165"/>
      <c r="D53" s="164"/>
      <c r="E53" s="164"/>
      <c r="F53" s="164"/>
    </row>
    <row r="54" spans="2:17" ht="30.75" thickBot="1" x14ac:dyDescent="0.3">
      <c r="B54" s="181" t="s">
        <v>37</v>
      </c>
      <c r="C54" s="165"/>
      <c r="D54" s="164"/>
      <c r="E54" s="164"/>
      <c r="F54" s="164"/>
    </row>
    <row r="55" spans="2:17" ht="30.75" thickBot="1" x14ac:dyDescent="0.3">
      <c r="B55" s="181" t="s">
        <v>822</v>
      </c>
      <c r="C55" s="165"/>
      <c r="D55" s="164"/>
      <c r="E55" s="164"/>
      <c r="F55" s="164"/>
    </row>
    <row r="56" spans="2:17" ht="15.75" thickBot="1" x14ac:dyDescent="0.3">
      <c r="B56" s="65" t="s">
        <v>38</v>
      </c>
      <c r="C56" s="165">
        <v>420</v>
      </c>
      <c r="D56" s="165">
        <v>420</v>
      </c>
      <c r="E56" s="165">
        <v>420</v>
      </c>
      <c r="F56" s="165">
        <v>420</v>
      </c>
    </row>
    <row r="57" spans="2:17" ht="30.75" thickBot="1" x14ac:dyDescent="0.3">
      <c r="B57" s="181" t="s">
        <v>39</v>
      </c>
      <c r="C57" s="165"/>
      <c r="D57" s="164"/>
      <c r="E57" s="164"/>
      <c r="F57" s="164"/>
    </row>
    <row r="58" spans="2:17" ht="45.75" customHeight="1" thickBot="1" x14ac:dyDescent="0.3">
      <c r="B58" s="181" t="s">
        <v>823</v>
      </c>
      <c r="C58" s="165"/>
      <c r="D58" s="164"/>
      <c r="E58" s="164"/>
      <c r="F58" s="164"/>
    </row>
    <row r="59" spans="2:17" s="348" customFormat="1" ht="15.75" thickBot="1" x14ac:dyDescent="0.3">
      <c r="B59" s="386" t="s">
        <v>40</v>
      </c>
      <c r="C59" s="243">
        <f>C56+C53+C50+C47+C44+C41+C38</f>
        <v>91000</v>
      </c>
      <c r="D59" s="243">
        <f t="shared" ref="D59:F59" si="2">D56+D53+D50+D47+D44+D41+D38</f>
        <v>91000</v>
      </c>
      <c r="E59" s="243">
        <f t="shared" si="2"/>
        <v>91000</v>
      </c>
      <c r="F59" s="243">
        <f t="shared" si="2"/>
        <v>92000</v>
      </c>
      <c r="G59" s="152"/>
      <c r="H59" s="152"/>
      <c r="I59" s="152"/>
      <c r="J59" s="152"/>
      <c r="K59" s="152"/>
      <c r="L59" s="152"/>
      <c r="M59" s="152"/>
      <c r="N59" s="152"/>
      <c r="O59" s="152"/>
      <c r="P59" s="152"/>
      <c r="Q59" s="152"/>
    </row>
    <row r="60" spans="2:17" ht="32.25" customHeight="1" thickBot="1" x14ac:dyDescent="0.3">
      <c r="B60" s="387"/>
      <c r="C60" s="388"/>
      <c r="D60" s="389"/>
      <c r="E60" s="389"/>
      <c r="F60" s="390"/>
    </row>
    <row r="61" spans="2:17" ht="29.25" customHeight="1" x14ac:dyDescent="0.25">
      <c r="B61" s="1303" t="s">
        <v>785</v>
      </c>
      <c r="C61" s="1309" t="s">
        <v>849</v>
      </c>
      <c r="D61" s="1310"/>
      <c r="E61" s="1310"/>
      <c r="F61" s="1311"/>
      <c r="G61" s="391"/>
      <c r="H61" s="391"/>
      <c r="I61" s="391"/>
      <c r="J61" s="391"/>
      <c r="K61" s="391"/>
      <c r="L61" s="391"/>
      <c r="M61" s="391"/>
      <c r="N61" s="391"/>
      <c r="O61" s="391"/>
      <c r="P61" s="391"/>
    </row>
    <row r="62" spans="2:17" ht="23.25" customHeight="1" x14ac:dyDescent="0.25">
      <c r="B62" s="1304"/>
      <c r="C62" s="1312"/>
      <c r="D62" s="1081"/>
      <c r="E62" s="1081"/>
      <c r="F62" s="1082"/>
    </row>
    <row r="63" spans="2:17" ht="15.75" thickBot="1" x14ac:dyDescent="0.3">
      <c r="B63" s="1305"/>
      <c r="C63" s="1313"/>
      <c r="D63" s="1314"/>
      <c r="E63" s="1314"/>
      <c r="F63" s="1315"/>
    </row>
    <row r="64" spans="2:17" ht="15.75" thickBot="1" x14ac:dyDescent="0.3">
      <c r="B64" s="166" t="s">
        <v>41</v>
      </c>
      <c r="C64" s="167">
        <f>IF(C59-C30=0,0,"Error")</f>
        <v>0</v>
      </c>
      <c r="D64" s="167">
        <f>IF(D59-D30=0,0,"Error")</f>
        <v>0</v>
      </c>
      <c r="E64" s="167">
        <f>IF(E59-E30=0,0,"Error")</f>
        <v>0</v>
      </c>
      <c r="F64" s="167">
        <f>IF(F59-F30=0,0,"Error")</f>
        <v>0</v>
      </c>
    </row>
    <row r="65" spans="2:6" ht="15.75" thickBot="1" x14ac:dyDescent="0.3">
      <c r="B65" s="195" t="s">
        <v>791</v>
      </c>
      <c r="C65" s="992" t="s">
        <v>106</v>
      </c>
      <c r="D65" s="993"/>
      <c r="E65" s="993"/>
      <c r="F65" s="994"/>
    </row>
    <row r="66" spans="2:6" ht="15.75" thickBot="1" x14ac:dyDescent="0.3">
      <c r="B66" s="62" t="s">
        <v>17</v>
      </c>
      <c r="C66" s="983" t="s">
        <v>106</v>
      </c>
      <c r="D66" s="984"/>
      <c r="E66" s="984"/>
      <c r="F66" s="985"/>
    </row>
    <row r="67" spans="2:6" ht="15.75" thickBot="1" x14ac:dyDescent="0.3">
      <c r="B67" s="62" t="s">
        <v>18</v>
      </c>
      <c r="C67" s="995" t="s">
        <v>106</v>
      </c>
      <c r="D67" s="996"/>
      <c r="E67" s="996"/>
      <c r="F67" s="997"/>
    </row>
    <row r="68" spans="2:6" ht="15.75" thickBot="1" x14ac:dyDescent="0.3">
      <c r="B68" s="62" t="s">
        <v>19</v>
      </c>
      <c r="C68" s="161"/>
      <c r="D68" s="161"/>
      <c r="E68" s="161"/>
      <c r="F68" s="161"/>
    </row>
    <row r="69" spans="2:6" ht="12.75" customHeight="1" x14ac:dyDescent="0.25">
      <c r="B69" s="998"/>
      <c r="C69" s="63">
        <v>2018</v>
      </c>
      <c r="D69" s="63">
        <v>2019</v>
      </c>
      <c r="E69" s="63">
        <v>2020</v>
      </c>
      <c r="F69" s="63">
        <v>2021</v>
      </c>
    </row>
    <row r="70" spans="2:6" ht="24" customHeight="1" thickBot="1" x14ac:dyDescent="0.3">
      <c r="B70" s="999"/>
      <c r="C70" s="64" t="s">
        <v>10</v>
      </c>
      <c r="D70" s="64" t="s">
        <v>11</v>
      </c>
      <c r="E70" s="64" t="s">
        <v>11</v>
      </c>
      <c r="F70" s="64" t="s">
        <v>11</v>
      </c>
    </row>
    <row r="71" spans="2:6" ht="15.75" thickBot="1" x14ac:dyDescent="0.3">
      <c r="B71" s="62" t="s">
        <v>20</v>
      </c>
      <c r="C71" s="161"/>
      <c r="D71" s="161"/>
      <c r="E71" s="161"/>
      <c r="F71" s="161"/>
    </row>
    <row r="72" spans="2:6" ht="15.75" thickBot="1" x14ac:dyDescent="0.3">
      <c r="B72" s="62" t="s">
        <v>21</v>
      </c>
      <c r="C72" s="161" t="e">
        <f>C71/C68</f>
        <v>#DIV/0!</v>
      </c>
      <c r="D72" s="161" t="e">
        <f>D71/D68</f>
        <v>#DIV/0!</v>
      </c>
      <c r="E72" s="161" t="e">
        <f>E71/E68</f>
        <v>#DIV/0!</v>
      </c>
      <c r="F72" s="161" t="e">
        <f>F71/F68</f>
        <v>#DIV/0!</v>
      </c>
    </row>
    <row r="73" spans="2:6" ht="15.75" thickBot="1" x14ac:dyDescent="0.3">
      <c r="B73" s="62" t="s">
        <v>22</v>
      </c>
      <c r="C73" s="145"/>
      <c r="D73" s="162" t="e">
        <f>D68/C68-1</f>
        <v>#DIV/0!</v>
      </c>
      <c r="E73" s="162" t="e">
        <f>E68/D68-1</f>
        <v>#DIV/0!</v>
      </c>
      <c r="F73" s="162" t="e">
        <f>F68/E68-1</f>
        <v>#DIV/0!</v>
      </c>
    </row>
    <row r="74" spans="2:6" ht="15.75" thickBot="1" x14ac:dyDescent="0.3">
      <c r="B74" s="62" t="s">
        <v>24</v>
      </c>
      <c r="C74" s="145"/>
      <c r="D74" s="162" t="e">
        <f>D71/C71-1</f>
        <v>#DIV/0!</v>
      </c>
      <c r="E74" s="162" t="e">
        <f t="shared" ref="E74:F75" si="3">E71/D71-1</f>
        <v>#DIV/0!</v>
      </c>
      <c r="F74" s="162" t="e">
        <f t="shared" si="3"/>
        <v>#DIV/0!</v>
      </c>
    </row>
    <row r="75" spans="2:6" ht="15.75" thickBot="1" x14ac:dyDescent="0.3">
      <c r="B75" s="62" t="s">
        <v>25</v>
      </c>
      <c r="C75" s="145"/>
      <c r="D75" s="162" t="e">
        <f>D72/C72-1</f>
        <v>#DIV/0!</v>
      </c>
      <c r="E75" s="162" t="e">
        <f t="shared" si="3"/>
        <v>#DIV/0!</v>
      </c>
      <c r="F75" s="162" t="e">
        <f t="shared" si="3"/>
        <v>#DIV/0!</v>
      </c>
    </row>
    <row r="76" spans="2:6" ht="24.75" customHeight="1" thickBot="1" x14ac:dyDescent="0.3">
      <c r="B76" s="1000" t="s">
        <v>792</v>
      </c>
      <c r="C76" s="1001"/>
      <c r="D76" s="1001"/>
      <c r="E76" s="1001"/>
      <c r="F76" s="1002"/>
    </row>
    <row r="77" spans="2:6" ht="12.75" customHeight="1" x14ac:dyDescent="0.25">
      <c r="B77" s="998"/>
      <c r="C77" s="63">
        <v>2018</v>
      </c>
      <c r="D77" s="63">
        <v>2019</v>
      </c>
      <c r="E77" s="63">
        <v>2020</v>
      </c>
      <c r="F77" s="63">
        <v>2021</v>
      </c>
    </row>
    <row r="78" spans="2:6" ht="21.75" customHeight="1" thickBot="1" x14ac:dyDescent="0.3">
      <c r="B78" s="999"/>
      <c r="C78" s="64" t="s">
        <v>10</v>
      </c>
      <c r="D78" s="64" t="s">
        <v>11</v>
      </c>
      <c r="E78" s="64" t="s">
        <v>11</v>
      </c>
      <c r="F78" s="64" t="s">
        <v>11</v>
      </c>
    </row>
    <row r="79" spans="2:6" ht="24.75" customHeight="1" thickBot="1" x14ac:dyDescent="0.3">
      <c r="B79" s="65" t="s">
        <v>26</v>
      </c>
      <c r="C79" s="164"/>
      <c r="D79" s="164"/>
      <c r="E79" s="164"/>
      <c r="F79" s="164"/>
    </row>
    <row r="80" spans="2:6" ht="38.25" customHeight="1" thickBot="1" x14ac:dyDescent="0.3">
      <c r="B80" s="181" t="s">
        <v>27</v>
      </c>
      <c r="C80" s="165"/>
      <c r="D80" s="182"/>
      <c r="E80" s="182"/>
      <c r="F80" s="182"/>
    </row>
    <row r="81" spans="2:6" ht="24.75" customHeight="1" thickBot="1" x14ac:dyDescent="0.3">
      <c r="B81" s="181" t="s">
        <v>45</v>
      </c>
      <c r="C81" s="165"/>
      <c r="D81" s="182"/>
      <c r="E81" s="182"/>
      <c r="F81" s="182"/>
    </row>
    <row r="82" spans="2:6" ht="24.75" customHeight="1" thickBot="1" x14ac:dyDescent="0.3">
      <c r="B82" s="65" t="s">
        <v>28</v>
      </c>
      <c r="C82" s="164"/>
      <c r="D82" s="164"/>
      <c r="E82" s="164"/>
      <c r="F82" s="164"/>
    </row>
    <row r="83" spans="2:6" ht="39" customHeight="1" thickBot="1" x14ac:dyDescent="0.3">
      <c r="B83" s="181" t="s">
        <v>29</v>
      </c>
      <c r="C83" s="165"/>
      <c r="D83" s="164"/>
      <c r="E83" s="164"/>
      <c r="F83" s="164"/>
    </row>
    <row r="84" spans="2:6" ht="35.25" customHeight="1" thickBot="1" x14ac:dyDescent="0.3">
      <c r="B84" s="181" t="s">
        <v>46</v>
      </c>
      <c r="C84" s="165"/>
      <c r="D84" s="164"/>
      <c r="E84" s="164"/>
      <c r="F84" s="164"/>
    </row>
    <row r="85" spans="2:6" ht="24.75" customHeight="1" thickBot="1" x14ac:dyDescent="0.3">
      <c r="B85" s="65" t="s">
        <v>30</v>
      </c>
      <c r="C85" s="165"/>
      <c r="D85" s="164"/>
      <c r="E85" s="164"/>
      <c r="F85" s="164"/>
    </row>
    <row r="86" spans="2:6" ht="30.75" thickBot="1" x14ac:dyDescent="0.3">
      <c r="B86" s="181" t="s">
        <v>31</v>
      </c>
      <c r="C86" s="165"/>
      <c r="D86" s="164"/>
      <c r="E86" s="164"/>
      <c r="F86" s="164"/>
    </row>
    <row r="87" spans="2:6" ht="30.75" thickBot="1" x14ac:dyDescent="0.3">
      <c r="B87" s="181" t="s">
        <v>47</v>
      </c>
      <c r="C87" s="165"/>
      <c r="D87" s="164"/>
      <c r="E87" s="164"/>
      <c r="F87" s="164"/>
    </row>
    <row r="88" spans="2:6" ht="15.75" thickBot="1" x14ac:dyDescent="0.3">
      <c r="B88" s="65" t="s">
        <v>32</v>
      </c>
      <c r="C88" s="165"/>
      <c r="D88" s="164"/>
      <c r="E88" s="164"/>
      <c r="F88" s="164"/>
    </row>
    <row r="89" spans="2:6" ht="30.75" thickBot="1" x14ac:dyDescent="0.3">
      <c r="B89" s="181" t="s">
        <v>33</v>
      </c>
      <c r="C89" s="165"/>
      <c r="D89" s="164"/>
      <c r="E89" s="164"/>
      <c r="F89" s="164"/>
    </row>
    <row r="90" spans="2:6" ht="30.75" thickBot="1" x14ac:dyDescent="0.3">
      <c r="B90" s="181" t="s">
        <v>48</v>
      </c>
      <c r="C90" s="165"/>
      <c r="D90" s="164"/>
      <c r="E90" s="164"/>
      <c r="F90" s="164"/>
    </row>
    <row r="91" spans="2:6" ht="15.75" thickBot="1" x14ac:dyDescent="0.3">
      <c r="B91" s="65" t="s">
        <v>34</v>
      </c>
      <c r="C91" s="165"/>
      <c r="D91" s="164"/>
      <c r="E91" s="164"/>
      <c r="F91" s="164"/>
    </row>
    <row r="92" spans="2:6" ht="30.75" customHeight="1" thickBot="1" x14ac:dyDescent="0.3">
      <c r="B92" s="181" t="s">
        <v>35</v>
      </c>
      <c r="C92" s="165"/>
      <c r="D92" s="164"/>
      <c r="E92" s="164"/>
      <c r="F92" s="164"/>
    </row>
    <row r="93" spans="2:6" ht="26.25" customHeight="1" thickBot="1" x14ac:dyDescent="0.3">
      <c r="B93" s="181" t="s">
        <v>49</v>
      </c>
      <c r="C93" s="165"/>
      <c r="D93" s="164"/>
      <c r="E93" s="164"/>
      <c r="F93" s="164"/>
    </row>
    <row r="94" spans="2:6" ht="15.75" thickBot="1" x14ac:dyDescent="0.3">
      <c r="B94" s="65" t="s">
        <v>36</v>
      </c>
      <c r="C94" s="165"/>
      <c r="D94" s="164"/>
      <c r="E94" s="164"/>
      <c r="F94" s="164"/>
    </row>
    <row r="95" spans="2:6" ht="30.75" thickBot="1" x14ac:dyDescent="0.3">
      <c r="B95" s="181" t="s">
        <v>37</v>
      </c>
      <c r="C95" s="165"/>
      <c r="D95" s="164"/>
      <c r="E95" s="164"/>
      <c r="F95" s="164"/>
    </row>
    <row r="96" spans="2:6" ht="30.75" thickBot="1" x14ac:dyDescent="0.3">
      <c r="B96" s="181" t="s">
        <v>50</v>
      </c>
      <c r="C96" s="165"/>
      <c r="D96" s="164"/>
      <c r="E96" s="164"/>
      <c r="F96" s="164"/>
    </row>
    <row r="97" spans="2:6" ht="15.75" thickBot="1" x14ac:dyDescent="0.3">
      <c r="B97" s="65" t="s">
        <v>38</v>
      </c>
      <c r="C97" s="165"/>
      <c r="D97" s="164"/>
      <c r="E97" s="164"/>
      <c r="F97" s="164"/>
    </row>
    <row r="98" spans="2:6" ht="30.75" thickBot="1" x14ac:dyDescent="0.3">
      <c r="B98" s="181" t="s">
        <v>39</v>
      </c>
      <c r="C98" s="165"/>
      <c r="D98" s="164"/>
      <c r="E98" s="164"/>
      <c r="F98" s="164"/>
    </row>
    <row r="99" spans="2:6" ht="30.75" thickBot="1" x14ac:dyDescent="0.3">
      <c r="B99" s="181" t="s">
        <v>51</v>
      </c>
      <c r="C99" s="165"/>
      <c r="D99" s="164"/>
      <c r="E99" s="164"/>
      <c r="F99" s="164"/>
    </row>
    <row r="100" spans="2:6" ht="15.75" thickBot="1" x14ac:dyDescent="0.3">
      <c r="B100" s="196" t="s">
        <v>74</v>
      </c>
      <c r="C100" s="165">
        <f>C97+C94+C91+C88+C85+C82+C79</f>
        <v>0</v>
      </c>
      <c r="D100" s="165">
        <f t="shared" ref="D100:F100" si="4">D97+D94+D91+D88+D85+D82+D79</f>
        <v>0</v>
      </c>
      <c r="E100" s="165">
        <f t="shared" si="4"/>
        <v>0</v>
      </c>
      <c r="F100" s="165">
        <f t="shared" si="4"/>
        <v>0</v>
      </c>
    </row>
    <row r="101" spans="2:6" ht="15" customHeight="1" x14ac:dyDescent="0.25">
      <c r="B101" s="1015" t="s">
        <v>120</v>
      </c>
      <c r="C101" s="1036"/>
      <c r="D101" s="1037"/>
      <c r="E101" s="1037"/>
      <c r="F101" s="1038"/>
    </row>
    <row r="102" spans="2:6" x14ac:dyDescent="0.25">
      <c r="B102" s="1016"/>
      <c r="C102" s="1039"/>
      <c r="D102" s="1040"/>
      <c r="E102" s="1040"/>
      <c r="F102" s="1041"/>
    </row>
    <row r="103" spans="2:6" ht="25.5" customHeight="1" thickBot="1" x14ac:dyDescent="0.3">
      <c r="B103" s="1017"/>
      <c r="C103" s="1042"/>
      <c r="D103" s="1043"/>
      <c r="E103" s="1043"/>
      <c r="F103" s="1044"/>
    </row>
    <row r="104" spans="2:6" ht="17.25" customHeight="1" thickBot="1" x14ac:dyDescent="0.3">
      <c r="B104" s="166" t="s">
        <v>41</v>
      </c>
      <c r="C104" s="167">
        <f>IF(C100-C71=0,0,"Error")</f>
        <v>0</v>
      </c>
      <c r="D104" s="167">
        <f>IF(D100-D71=0,0,"Error")</f>
        <v>0</v>
      </c>
      <c r="E104" s="167">
        <f>IF(E100-E71=0,0,"Error")</f>
        <v>0</v>
      </c>
      <c r="F104" s="167">
        <f>IF(F100-F71=0,0,"Error")</f>
        <v>0</v>
      </c>
    </row>
    <row r="105" spans="2:6" ht="15.75" thickBot="1" x14ac:dyDescent="0.3">
      <c r="B105" s="989" t="s">
        <v>55</v>
      </c>
      <c r="C105" s="990"/>
      <c r="D105" s="990"/>
      <c r="E105" s="990"/>
      <c r="F105" s="991"/>
    </row>
    <row r="106" spans="2:6" ht="15.75" thickBot="1" x14ac:dyDescent="0.3">
      <c r="B106" s="989" t="s">
        <v>56</v>
      </c>
      <c r="C106" s="990"/>
      <c r="D106" s="990"/>
      <c r="E106" s="990"/>
      <c r="F106" s="991"/>
    </row>
    <row r="107" spans="2:6" ht="15.75" thickBot="1" x14ac:dyDescent="0.3">
      <c r="B107" s="67" t="s">
        <v>79</v>
      </c>
      <c r="C107" s="1297">
        <v>630001</v>
      </c>
      <c r="D107" s="1298"/>
      <c r="E107" s="1298"/>
      <c r="F107" s="1299"/>
    </row>
    <row r="108" spans="2:6" ht="15.75" thickBot="1" x14ac:dyDescent="0.3">
      <c r="B108" s="160" t="s">
        <v>16</v>
      </c>
      <c r="C108" s="1300" t="s">
        <v>844</v>
      </c>
      <c r="D108" s="1301"/>
      <c r="E108" s="1301"/>
      <c r="F108" s="1302"/>
    </row>
    <row r="109" spans="2:6" ht="17.25" customHeight="1" thickBot="1" x14ac:dyDescent="0.3">
      <c r="B109" s="62" t="s">
        <v>17</v>
      </c>
      <c r="C109" s="983" t="s">
        <v>845</v>
      </c>
      <c r="D109" s="984"/>
      <c r="E109" s="984"/>
      <c r="F109" s="985"/>
    </row>
    <row r="110" spans="2:6" ht="15.75" thickBot="1" x14ac:dyDescent="0.3">
      <c r="B110" s="62" t="s">
        <v>18</v>
      </c>
      <c r="C110" s="995" t="s">
        <v>106</v>
      </c>
      <c r="D110" s="996"/>
      <c r="E110" s="996"/>
      <c r="F110" s="997"/>
    </row>
    <row r="111" spans="2:6" ht="12.75" customHeight="1" x14ac:dyDescent="0.25">
      <c r="B111" s="998"/>
      <c r="C111" s="63">
        <v>2018</v>
      </c>
      <c r="D111" s="63">
        <v>2019</v>
      </c>
      <c r="E111" s="63">
        <v>2020</v>
      </c>
      <c r="F111" s="63">
        <v>2021</v>
      </c>
    </row>
    <row r="112" spans="2:6" ht="22.5" customHeight="1" thickBot="1" x14ac:dyDescent="0.3">
      <c r="B112" s="999"/>
      <c r="C112" s="64" t="s">
        <v>10</v>
      </c>
      <c r="D112" s="64" t="s">
        <v>11</v>
      </c>
      <c r="E112" s="64" t="s">
        <v>11</v>
      </c>
      <c r="F112" s="64" t="s">
        <v>11</v>
      </c>
    </row>
    <row r="113" spans="2:12" ht="15.75" thickBot="1" x14ac:dyDescent="0.3">
      <c r="B113" s="62" t="s">
        <v>19</v>
      </c>
      <c r="C113" s="161">
        <v>35</v>
      </c>
      <c r="D113" s="161">
        <v>35</v>
      </c>
      <c r="E113" s="161">
        <v>36</v>
      </c>
      <c r="F113" s="161">
        <v>37</v>
      </c>
    </row>
    <row r="114" spans="2:12" ht="15.75" thickBot="1" x14ac:dyDescent="0.3">
      <c r="B114" s="62" t="s">
        <v>20</v>
      </c>
      <c r="C114" s="161">
        <v>1850</v>
      </c>
      <c r="D114" s="161">
        <v>1850</v>
      </c>
      <c r="E114" s="161">
        <v>1850</v>
      </c>
      <c r="F114" s="161">
        <v>1850</v>
      </c>
      <c r="J114" s="202"/>
    </row>
    <row r="115" spans="2:12" ht="15.75" thickBot="1" x14ac:dyDescent="0.3">
      <c r="B115" s="62" t="s">
        <v>21</v>
      </c>
      <c r="C115" s="161">
        <f>C114/C113</f>
        <v>52.857142857142854</v>
      </c>
      <c r="D115" s="161">
        <f t="shared" ref="D115:F115" si="5">D114/D113</f>
        <v>52.857142857142854</v>
      </c>
      <c r="E115" s="161">
        <f t="shared" si="5"/>
        <v>51.388888888888886</v>
      </c>
      <c r="F115" s="161">
        <f t="shared" si="5"/>
        <v>50</v>
      </c>
    </row>
    <row r="116" spans="2:12" ht="15.75" thickBot="1" x14ac:dyDescent="0.3">
      <c r="B116" s="62" t="s">
        <v>22</v>
      </c>
      <c r="C116" s="145" t="s">
        <v>23</v>
      </c>
      <c r="D116" s="162">
        <f>D113/C113-1</f>
        <v>0</v>
      </c>
      <c r="E116" s="162">
        <f t="shared" ref="E116:F118" si="6">E113/D113-1</f>
        <v>2.857142857142847E-2</v>
      </c>
      <c r="F116" s="162">
        <f t="shared" si="6"/>
        <v>2.7777777777777679E-2</v>
      </c>
      <c r="H116" s="163"/>
      <c r="I116" s="163"/>
      <c r="J116" s="163"/>
      <c r="K116" s="163"/>
      <c r="L116" s="163"/>
    </row>
    <row r="117" spans="2:12" ht="15.75" thickBot="1" x14ac:dyDescent="0.3">
      <c r="B117" s="62" t="s">
        <v>24</v>
      </c>
      <c r="C117" s="145" t="s">
        <v>23</v>
      </c>
      <c r="D117" s="162">
        <f>D114/C114-1</f>
        <v>0</v>
      </c>
      <c r="E117" s="162">
        <f t="shared" si="6"/>
        <v>0</v>
      </c>
      <c r="F117" s="162">
        <f t="shared" si="6"/>
        <v>0</v>
      </c>
    </row>
    <row r="118" spans="2:12" ht="15.75" thickBot="1" x14ac:dyDescent="0.3">
      <c r="B118" s="62" t="s">
        <v>25</v>
      </c>
      <c r="C118" s="145" t="s">
        <v>23</v>
      </c>
      <c r="D118" s="162">
        <f>D115/C115-1</f>
        <v>0</v>
      </c>
      <c r="E118" s="162">
        <f t="shared" si="6"/>
        <v>-2.777777777777779E-2</v>
      </c>
      <c r="F118" s="162">
        <f t="shared" si="6"/>
        <v>-2.7027027027026973E-2</v>
      </c>
    </row>
    <row r="119" spans="2:12" ht="15.75" thickBot="1" x14ac:dyDescent="0.3">
      <c r="B119" s="1000" t="s">
        <v>784</v>
      </c>
      <c r="C119" s="1001"/>
      <c r="D119" s="1001"/>
      <c r="E119" s="1001"/>
      <c r="F119" s="1002"/>
    </row>
    <row r="120" spans="2:12" ht="12.75" customHeight="1" x14ac:dyDescent="0.25">
      <c r="B120" s="998"/>
      <c r="C120" s="63">
        <v>2018</v>
      </c>
      <c r="D120" s="63">
        <v>2019</v>
      </c>
      <c r="E120" s="63">
        <v>2020</v>
      </c>
      <c r="F120" s="63">
        <v>2021</v>
      </c>
    </row>
    <row r="121" spans="2:12" ht="24.75" customHeight="1" thickBot="1" x14ac:dyDescent="0.3">
      <c r="B121" s="999"/>
      <c r="C121" s="64" t="s">
        <v>10</v>
      </c>
      <c r="D121" s="64" t="s">
        <v>11</v>
      </c>
      <c r="E121" s="64" t="s">
        <v>11</v>
      </c>
      <c r="F121" s="64" t="s">
        <v>11</v>
      </c>
    </row>
    <row r="122" spans="2:12" ht="15.75" thickBot="1" x14ac:dyDescent="0.3">
      <c r="B122" s="65" t="s">
        <v>58</v>
      </c>
      <c r="C122" s="164"/>
      <c r="D122" s="164"/>
      <c r="E122" s="164"/>
      <c r="F122" s="164"/>
    </row>
    <row r="123" spans="2:12" ht="15.75" thickBot="1" x14ac:dyDescent="0.3">
      <c r="B123" s="65" t="s">
        <v>59</v>
      </c>
      <c r="C123" s="165">
        <v>1850</v>
      </c>
      <c r="D123" s="165">
        <v>1850</v>
      </c>
      <c r="E123" s="165">
        <v>1850</v>
      </c>
      <c r="F123" s="165">
        <v>1850</v>
      </c>
    </row>
    <row r="124" spans="2:12" ht="15.75" thickBot="1" x14ac:dyDescent="0.3">
      <c r="B124" s="66" t="s">
        <v>40</v>
      </c>
      <c r="C124" s="165">
        <f>C123+C122</f>
        <v>1850</v>
      </c>
      <c r="D124" s="165">
        <f t="shared" ref="D124:F124" si="7">D123+D122</f>
        <v>1850</v>
      </c>
      <c r="E124" s="165">
        <f t="shared" si="7"/>
        <v>1850</v>
      </c>
      <c r="F124" s="165">
        <f t="shared" si="7"/>
        <v>1850</v>
      </c>
    </row>
    <row r="125" spans="2:12" x14ac:dyDescent="0.25">
      <c r="B125" s="1015" t="s">
        <v>60</v>
      </c>
      <c r="C125" s="1036"/>
      <c r="D125" s="1037"/>
      <c r="E125" s="1037"/>
      <c r="F125" s="1038"/>
    </row>
    <row r="126" spans="2:12" x14ac:dyDescent="0.25">
      <c r="B126" s="1016"/>
      <c r="C126" s="1039"/>
      <c r="D126" s="1040"/>
      <c r="E126" s="1040"/>
      <c r="F126" s="1041"/>
    </row>
    <row r="127" spans="2:12" ht="15.75" thickBot="1" x14ac:dyDescent="0.3">
      <c r="B127" s="1017"/>
      <c r="C127" s="1042"/>
      <c r="D127" s="1043"/>
      <c r="E127" s="1043"/>
      <c r="F127" s="1044"/>
    </row>
    <row r="128" spans="2:12" ht="15.75" thickBot="1" x14ac:dyDescent="0.3">
      <c r="B128" s="67" t="s">
        <v>61</v>
      </c>
      <c r="C128" s="1009" t="s">
        <v>130</v>
      </c>
      <c r="D128" s="1010"/>
      <c r="E128" s="1010"/>
      <c r="F128" s="1011"/>
    </row>
    <row r="129" spans="2:12" ht="15.75" thickBot="1" x14ac:dyDescent="0.3">
      <c r="B129" s="160" t="s">
        <v>846</v>
      </c>
      <c r="C129" s="992">
        <v>630008</v>
      </c>
      <c r="D129" s="993"/>
      <c r="E129" s="993"/>
      <c r="F129" s="994"/>
    </row>
    <row r="130" spans="2:12" ht="17.25" customHeight="1" thickBot="1" x14ac:dyDescent="0.3">
      <c r="B130" s="62" t="s">
        <v>17</v>
      </c>
      <c r="C130" s="983" t="s">
        <v>847</v>
      </c>
      <c r="D130" s="984"/>
      <c r="E130" s="984"/>
      <c r="F130" s="985"/>
    </row>
    <row r="131" spans="2:12" ht="15.75" thickBot="1" x14ac:dyDescent="0.3">
      <c r="B131" s="62" t="s">
        <v>18</v>
      </c>
      <c r="C131" s="995" t="s">
        <v>73</v>
      </c>
      <c r="D131" s="996"/>
      <c r="E131" s="996"/>
      <c r="F131" s="997"/>
    </row>
    <row r="132" spans="2:12" ht="12.75" customHeight="1" x14ac:dyDescent="0.25">
      <c r="B132" s="998"/>
      <c r="C132" s="63">
        <v>2018</v>
      </c>
      <c r="D132" s="63">
        <v>2019</v>
      </c>
      <c r="E132" s="63">
        <v>2020</v>
      </c>
      <c r="F132" s="63">
        <v>2021</v>
      </c>
    </row>
    <row r="133" spans="2:12" ht="22.5" customHeight="1" thickBot="1" x14ac:dyDescent="0.3">
      <c r="B133" s="999"/>
      <c r="C133" s="64" t="s">
        <v>10</v>
      </c>
      <c r="D133" s="64" t="s">
        <v>11</v>
      </c>
      <c r="E133" s="64" t="s">
        <v>11</v>
      </c>
      <c r="F133" s="64" t="s">
        <v>11</v>
      </c>
    </row>
    <row r="134" spans="2:12" ht="15.75" thickBot="1" x14ac:dyDescent="0.3">
      <c r="B134" s="62" t="s">
        <v>19</v>
      </c>
      <c r="C134" s="161">
        <v>1</v>
      </c>
      <c r="D134" s="161">
        <v>1</v>
      </c>
      <c r="E134" s="161">
        <v>1</v>
      </c>
      <c r="F134" s="161">
        <v>1</v>
      </c>
    </row>
    <row r="135" spans="2:12" ht="15.75" thickBot="1" x14ac:dyDescent="0.3">
      <c r="B135" s="62" t="s">
        <v>20</v>
      </c>
      <c r="C135" s="161">
        <v>150</v>
      </c>
      <c r="D135" s="161">
        <v>150</v>
      </c>
      <c r="E135" s="161">
        <v>150</v>
      </c>
      <c r="F135" s="161">
        <v>150</v>
      </c>
    </row>
    <row r="136" spans="2:12" ht="15.75" thickBot="1" x14ac:dyDescent="0.3">
      <c r="B136" s="62" t="s">
        <v>21</v>
      </c>
      <c r="C136" s="161">
        <f>C135/C134</f>
        <v>150</v>
      </c>
      <c r="D136" s="161">
        <f t="shared" ref="D136:F136" si="8">D135/D134</f>
        <v>150</v>
      </c>
      <c r="E136" s="161">
        <f t="shared" si="8"/>
        <v>150</v>
      </c>
      <c r="F136" s="161">
        <f t="shared" si="8"/>
        <v>150</v>
      </c>
    </row>
    <row r="137" spans="2:12" ht="15.75" thickBot="1" x14ac:dyDescent="0.3">
      <c r="B137" s="62" t="s">
        <v>22</v>
      </c>
      <c r="C137" s="145" t="s">
        <v>23</v>
      </c>
      <c r="D137" s="162">
        <f>D134/C134-1</f>
        <v>0</v>
      </c>
      <c r="E137" s="162">
        <f t="shared" ref="E137:F139" si="9">E134/D134-1</f>
        <v>0</v>
      </c>
      <c r="F137" s="162">
        <f t="shared" si="9"/>
        <v>0</v>
      </c>
      <c r="H137" s="163"/>
      <c r="I137" s="163"/>
      <c r="J137" s="163"/>
      <c r="K137" s="163"/>
      <c r="L137" s="163"/>
    </row>
    <row r="138" spans="2:12" ht="15.75" thickBot="1" x14ac:dyDescent="0.3">
      <c r="B138" s="62" t="s">
        <v>24</v>
      </c>
      <c r="C138" s="145" t="s">
        <v>23</v>
      </c>
      <c r="D138" s="162">
        <f>D135/C135-1</f>
        <v>0</v>
      </c>
      <c r="E138" s="162">
        <f t="shared" si="9"/>
        <v>0</v>
      </c>
      <c r="F138" s="162">
        <f t="shared" si="9"/>
        <v>0</v>
      </c>
    </row>
    <row r="139" spans="2:12" ht="15.75" thickBot="1" x14ac:dyDescent="0.3">
      <c r="B139" s="62" t="s">
        <v>25</v>
      </c>
      <c r="C139" s="145" t="s">
        <v>23</v>
      </c>
      <c r="D139" s="162">
        <f>D136/C136-1</f>
        <v>0</v>
      </c>
      <c r="E139" s="162">
        <f t="shared" si="9"/>
        <v>0</v>
      </c>
      <c r="F139" s="162">
        <f t="shared" si="9"/>
        <v>0</v>
      </c>
    </row>
    <row r="140" spans="2:12" ht="15.75" thickBot="1" x14ac:dyDescent="0.3">
      <c r="B140" s="1000" t="s">
        <v>786</v>
      </c>
      <c r="C140" s="1001"/>
      <c r="D140" s="1001"/>
      <c r="E140" s="1001"/>
      <c r="F140" s="1002"/>
    </row>
    <row r="141" spans="2:12" ht="12.75" customHeight="1" x14ac:dyDescent="0.25">
      <c r="B141" s="998"/>
      <c r="C141" s="63">
        <v>2018</v>
      </c>
      <c r="D141" s="63">
        <v>2019</v>
      </c>
      <c r="E141" s="63">
        <v>2020</v>
      </c>
      <c r="F141" s="63">
        <v>2021</v>
      </c>
    </row>
    <row r="142" spans="2:12" ht="20.25" customHeight="1" thickBot="1" x14ac:dyDescent="0.3">
      <c r="B142" s="999"/>
      <c r="C142" s="64" t="s">
        <v>10</v>
      </c>
      <c r="D142" s="64" t="s">
        <v>11</v>
      </c>
      <c r="E142" s="64" t="s">
        <v>11</v>
      </c>
      <c r="F142" s="64" t="s">
        <v>11</v>
      </c>
    </row>
    <row r="143" spans="2:12" ht="15.75" thickBot="1" x14ac:dyDescent="0.3">
      <c r="B143" s="65" t="s">
        <v>58</v>
      </c>
      <c r="C143" s="164"/>
      <c r="D143" s="164"/>
      <c r="E143" s="164"/>
      <c r="F143" s="164"/>
    </row>
    <row r="144" spans="2:12" ht="15.75" thickBot="1" x14ac:dyDescent="0.3">
      <c r="B144" s="65" t="s">
        <v>59</v>
      </c>
      <c r="C144" s="165">
        <v>150</v>
      </c>
      <c r="D144" s="165">
        <v>150</v>
      </c>
      <c r="E144" s="165">
        <v>150</v>
      </c>
      <c r="F144" s="165">
        <v>150</v>
      </c>
    </row>
    <row r="145" spans="2:12" ht="15.75" thickBot="1" x14ac:dyDescent="0.3">
      <c r="B145" s="66" t="s">
        <v>43</v>
      </c>
      <c r="C145" s="165">
        <f>C144+C143</f>
        <v>150</v>
      </c>
      <c r="D145" s="165">
        <f t="shared" ref="D145:F145" si="10">D144+D143</f>
        <v>150</v>
      </c>
      <c r="E145" s="165">
        <f t="shared" si="10"/>
        <v>150</v>
      </c>
      <c r="F145" s="165">
        <f t="shared" si="10"/>
        <v>150</v>
      </c>
    </row>
    <row r="146" spans="2:12" x14ac:dyDescent="0.25">
      <c r="B146" s="1015" t="s">
        <v>62</v>
      </c>
      <c r="C146" s="1036"/>
      <c r="D146" s="1037"/>
      <c r="E146" s="1037"/>
      <c r="F146" s="1038"/>
    </row>
    <row r="147" spans="2:12" x14ac:dyDescent="0.25">
      <c r="B147" s="1016"/>
      <c r="C147" s="1039"/>
      <c r="D147" s="1040"/>
      <c r="E147" s="1040"/>
      <c r="F147" s="1041"/>
    </row>
    <row r="148" spans="2:12" ht="15.75" thickBot="1" x14ac:dyDescent="0.3">
      <c r="B148" s="1017"/>
      <c r="C148" s="1042"/>
      <c r="D148" s="1043"/>
      <c r="E148" s="1043"/>
      <c r="F148" s="1044"/>
    </row>
    <row r="149" spans="2:12" ht="15.75" thickBot="1" x14ac:dyDescent="0.3">
      <c r="B149" s="989" t="s">
        <v>63</v>
      </c>
      <c r="C149" s="990"/>
      <c r="D149" s="990"/>
      <c r="E149" s="990"/>
      <c r="F149" s="991"/>
    </row>
    <row r="150" spans="2:12" ht="15.75" thickBot="1" x14ac:dyDescent="0.3">
      <c r="B150" s="989" t="s">
        <v>64</v>
      </c>
      <c r="C150" s="990"/>
      <c r="D150" s="990"/>
      <c r="E150" s="990"/>
      <c r="F150" s="991"/>
    </row>
    <row r="151" spans="2:12" ht="15.75" thickBot="1" x14ac:dyDescent="0.3">
      <c r="B151" s="67" t="s">
        <v>61</v>
      </c>
      <c r="C151" s="1009" t="s">
        <v>130</v>
      </c>
      <c r="D151" s="1010"/>
      <c r="E151" s="1010"/>
      <c r="F151" s="1011"/>
    </row>
    <row r="152" spans="2:12" ht="15.75" thickBot="1" x14ac:dyDescent="0.3">
      <c r="B152" s="160" t="s">
        <v>16</v>
      </c>
      <c r="C152" s="992" t="s">
        <v>106</v>
      </c>
      <c r="D152" s="993"/>
      <c r="E152" s="993"/>
      <c r="F152" s="994"/>
    </row>
    <row r="153" spans="2:12" ht="17.25" customHeight="1" thickBot="1" x14ac:dyDescent="0.3">
      <c r="B153" s="62" t="s">
        <v>17</v>
      </c>
      <c r="C153" s="983" t="s">
        <v>106</v>
      </c>
      <c r="D153" s="984"/>
      <c r="E153" s="984"/>
      <c r="F153" s="985"/>
    </row>
    <row r="154" spans="2:12" ht="15.75" thickBot="1" x14ac:dyDescent="0.3">
      <c r="B154" s="62" t="s">
        <v>18</v>
      </c>
      <c r="C154" s="995" t="s">
        <v>106</v>
      </c>
      <c r="D154" s="996"/>
      <c r="E154" s="996"/>
      <c r="F154" s="997"/>
    </row>
    <row r="155" spans="2:12" ht="12.75" customHeight="1" x14ac:dyDescent="0.25">
      <c r="B155" s="998"/>
      <c r="C155" s="63">
        <v>2018</v>
      </c>
      <c r="D155" s="63">
        <v>2019</v>
      </c>
      <c r="E155" s="63">
        <v>2020</v>
      </c>
      <c r="F155" s="63">
        <v>2021</v>
      </c>
    </row>
    <row r="156" spans="2:12" ht="31.5" customHeight="1" thickBot="1" x14ac:dyDescent="0.3">
      <c r="B156" s="999"/>
      <c r="C156" s="64" t="s">
        <v>10</v>
      </c>
      <c r="D156" s="64" t="s">
        <v>11</v>
      </c>
      <c r="E156" s="64" t="s">
        <v>11</v>
      </c>
      <c r="F156" s="64" t="s">
        <v>11</v>
      </c>
    </row>
    <row r="157" spans="2:12" ht="15.75" thickBot="1" x14ac:dyDescent="0.3">
      <c r="B157" s="62" t="s">
        <v>19</v>
      </c>
      <c r="C157" s="161"/>
      <c r="D157" s="161"/>
      <c r="E157" s="161"/>
      <c r="F157" s="161"/>
    </row>
    <row r="158" spans="2:12" ht="15.75" thickBot="1" x14ac:dyDescent="0.3">
      <c r="B158" s="62" t="s">
        <v>20</v>
      </c>
      <c r="C158" s="161"/>
      <c r="D158" s="161"/>
      <c r="E158" s="161"/>
      <c r="F158" s="161"/>
    </row>
    <row r="159" spans="2:12" ht="15.75" thickBot="1" x14ac:dyDescent="0.3">
      <c r="B159" s="62" t="s">
        <v>21</v>
      </c>
      <c r="C159" s="161" t="e">
        <f>C158/C157</f>
        <v>#DIV/0!</v>
      </c>
      <c r="D159" s="161" t="e">
        <f t="shared" ref="D159:F159" si="11">D158/D157</f>
        <v>#DIV/0!</v>
      </c>
      <c r="E159" s="161" t="e">
        <f t="shared" si="11"/>
        <v>#DIV/0!</v>
      </c>
      <c r="F159" s="161" t="e">
        <f t="shared" si="11"/>
        <v>#DIV/0!</v>
      </c>
    </row>
    <row r="160" spans="2:12" ht="15.75" thickBot="1" x14ac:dyDescent="0.3">
      <c r="B160" s="62" t="s">
        <v>22</v>
      </c>
      <c r="C160" s="145" t="s">
        <v>23</v>
      </c>
      <c r="D160" s="162" t="e">
        <f>D157/C157-1</f>
        <v>#DIV/0!</v>
      </c>
      <c r="E160" s="162" t="e">
        <f t="shared" ref="E160:F162" si="12">E157/D157-1</f>
        <v>#DIV/0!</v>
      </c>
      <c r="F160" s="162" t="e">
        <f t="shared" si="12"/>
        <v>#DIV/0!</v>
      </c>
      <c r="H160" s="163"/>
      <c r="I160" s="163"/>
      <c r="J160" s="163"/>
      <c r="K160" s="163"/>
      <c r="L160" s="163"/>
    </row>
    <row r="161" spans="2:6" ht="15.75" thickBot="1" x14ac:dyDescent="0.3">
      <c r="B161" s="62" t="s">
        <v>24</v>
      </c>
      <c r="C161" s="145" t="s">
        <v>23</v>
      </c>
      <c r="D161" s="162" t="e">
        <f>D158/C158-1</f>
        <v>#DIV/0!</v>
      </c>
      <c r="E161" s="162" t="e">
        <f t="shared" si="12"/>
        <v>#DIV/0!</v>
      </c>
      <c r="F161" s="162" t="e">
        <f t="shared" si="12"/>
        <v>#DIV/0!</v>
      </c>
    </row>
    <row r="162" spans="2:6" ht="15.75" thickBot="1" x14ac:dyDescent="0.3">
      <c r="B162" s="62" t="s">
        <v>25</v>
      </c>
      <c r="C162" s="145" t="s">
        <v>23</v>
      </c>
      <c r="D162" s="162" t="e">
        <f>D159/C159-1</f>
        <v>#DIV/0!</v>
      </c>
      <c r="E162" s="162" t="e">
        <f t="shared" si="12"/>
        <v>#DIV/0!</v>
      </c>
      <c r="F162" s="162" t="e">
        <f t="shared" si="12"/>
        <v>#DIV/0!</v>
      </c>
    </row>
    <row r="163" spans="2:6" ht="15.75" thickBot="1" x14ac:dyDescent="0.3">
      <c r="B163" s="1000" t="s">
        <v>784</v>
      </c>
      <c r="C163" s="1001"/>
      <c r="D163" s="1001"/>
      <c r="E163" s="1001"/>
      <c r="F163" s="1002"/>
    </row>
    <row r="164" spans="2:6" ht="12.75" customHeight="1" x14ac:dyDescent="0.25">
      <c r="B164" s="998"/>
      <c r="C164" s="63">
        <v>2018</v>
      </c>
      <c r="D164" s="63">
        <v>2019</v>
      </c>
      <c r="E164" s="63">
        <v>2020</v>
      </c>
      <c r="F164" s="63">
        <v>2021</v>
      </c>
    </row>
    <row r="165" spans="2:6" ht="25.5" customHeight="1" thickBot="1" x14ac:dyDescent="0.3">
      <c r="B165" s="999"/>
      <c r="C165" s="64" t="s">
        <v>10</v>
      </c>
      <c r="D165" s="64" t="s">
        <v>11</v>
      </c>
      <c r="E165" s="64" t="s">
        <v>11</v>
      </c>
      <c r="F165" s="64" t="s">
        <v>11</v>
      </c>
    </row>
    <row r="166" spans="2:6" ht="15.75" thickBot="1" x14ac:dyDescent="0.3">
      <c r="B166" s="65" t="s">
        <v>58</v>
      </c>
      <c r="C166" s="164"/>
      <c r="D166" s="164"/>
      <c r="E166" s="164"/>
      <c r="F166" s="164"/>
    </row>
    <row r="167" spans="2:6" ht="15.75" thickBot="1" x14ac:dyDescent="0.3">
      <c r="B167" s="65" t="s">
        <v>59</v>
      </c>
      <c r="C167" s="165"/>
      <c r="D167" s="164"/>
      <c r="E167" s="164"/>
      <c r="F167" s="164"/>
    </row>
    <row r="168" spans="2:6" ht="15.75" thickBot="1" x14ac:dyDescent="0.3">
      <c r="B168" s="66" t="s">
        <v>40</v>
      </c>
      <c r="C168" s="165">
        <f>C167+C166</f>
        <v>0</v>
      </c>
      <c r="D168" s="165">
        <f t="shared" ref="D168:F168" si="13">D167+D166</f>
        <v>0</v>
      </c>
      <c r="E168" s="165">
        <f t="shared" si="13"/>
        <v>0</v>
      </c>
      <c r="F168" s="165">
        <f t="shared" si="13"/>
        <v>0</v>
      </c>
    </row>
    <row r="169" spans="2:6" x14ac:dyDescent="0.25">
      <c r="B169" s="1015" t="s">
        <v>60</v>
      </c>
      <c r="C169" s="1036"/>
      <c r="D169" s="1037"/>
      <c r="E169" s="1037"/>
      <c r="F169" s="1038"/>
    </row>
    <row r="170" spans="2:6" x14ac:dyDescent="0.25">
      <c r="B170" s="1016"/>
      <c r="C170" s="1039"/>
      <c r="D170" s="1040"/>
      <c r="E170" s="1040"/>
      <c r="F170" s="1041"/>
    </row>
    <row r="171" spans="2:6" ht="15.75" thickBot="1" x14ac:dyDescent="0.3">
      <c r="B171" s="1017"/>
      <c r="C171" s="1042"/>
      <c r="D171" s="1043"/>
      <c r="E171" s="1043"/>
      <c r="F171" s="1044"/>
    </row>
    <row r="172" spans="2:6" ht="15.75" thickBot="1" x14ac:dyDescent="0.3">
      <c r="B172" s="67" t="s">
        <v>61</v>
      </c>
      <c r="C172" s="1009" t="s">
        <v>130</v>
      </c>
      <c r="D172" s="1010"/>
      <c r="E172" s="1010"/>
      <c r="F172" s="1011"/>
    </row>
    <row r="173" spans="2:6" ht="15.75" thickBot="1" x14ac:dyDescent="0.3">
      <c r="B173" s="160" t="s">
        <v>129</v>
      </c>
      <c r="C173" s="992" t="s">
        <v>106</v>
      </c>
      <c r="D173" s="993"/>
      <c r="E173" s="993"/>
      <c r="F173" s="994"/>
    </row>
    <row r="174" spans="2:6" ht="17.25" customHeight="1" thickBot="1" x14ac:dyDescent="0.3">
      <c r="B174" s="62" t="s">
        <v>17</v>
      </c>
      <c r="C174" s="983" t="s">
        <v>106</v>
      </c>
      <c r="D174" s="984"/>
      <c r="E174" s="984"/>
      <c r="F174" s="985"/>
    </row>
    <row r="175" spans="2:6" ht="15.75" thickBot="1" x14ac:dyDescent="0.3">
      <c r="B175" s="62" t="s">
        <v>18</v>
      </c>
      <c r="C175" s="995" t="s">
        <v>106</v>
      </c>
      <c r="D175" s="996"/>
      <c r="E175" s="996"/>
      <c r="F175" s="997"/>
    </row>
    <row r="176" spans="2:6" ht="12.75" customHeight="1" x14ac:dyDescent="0.25">
      <c r="B176" s="998"/>
      <c r="C176" s="63">
        <v>2018</v>
      </c>
      <c r="D176" s="63">
        <v>2019</v>
      </c>
      <c r="E176" s="63">
        <v>2020</v>
      </c>
      <c r="F176" s="63">
        <v>2021</v>
      </c>
    </row>
    <row r="177" spans="2:12" ht="23.25" customHeight="1" thickBot="1" x14ac:dyDescent="0.3">
      <c r="B177" s="999"/>
      <c r="C177" s="64" t="s">
        <v>10</v>
      </c>
      <c r="D177" s="64" t="s">
        <v>11</v>
      </c>
      <c r="E177" s="64" t="s">
        <v>11</v>
      </c>
      <c r="F177" s="64" t="s">
        <v>11</v>
      </c>
    </row>
    <row r="178" spans="2:12" ht="15.75" thickBot="1" x14ac:dyDescent="0.3">
      <c r="B178" s="62" t="s">
        <v>19</v>
      </c>
      <c r="C178" s="161"/>
      <c r="D178" s="161"/>
      <c r="E178" s="161"/>
      <c r="F178" s="161"/>
    </row>
    <row r="179" spans="2:12" ht="15.75" thickBot="1" x14ac:dyDescent="0.3">
      <c r="B179" s="62" t="s">
        <v>20</v>
      </c>
      <c r="C179" s="161"/>
      <c r="D179" s="161"/>
      <c r="E179" s="161"/>
      <c r="F179" s="161"/>
    </row>
    <row r="180" spans="2:12" ht="15.75" thickBot="1" x14ac:dyDescent="0.3">
      <c r="B180" s="62" t="s">
        <v>21</v>
      </c>
      <c r="C180" s="161" t="e">
        <f>C179/C178</f>
        <v>#DIV/0!</v>
      </c>
      <c r="D180" s="161" t="e">
        <f t="shared" ref="D180:F180" si="14">D179/D178</f>
        <v>#DIV/0!</v>
      </c>
      <c r="E180" s="161" t="e">
        <f t="shared" si="14"/>
        <v>#DIV/0!</v>
      </c>
      <c r="F180" s="161" t="e">
        <f t="shared" si="14"/>
        <v>#DIV/0!</v>
      </c>
    </row>
    <row r="181" spans="2:12" ht="15.75" thickBot="1" x14ac:dyDescent="0.3">
      <c r="B181" s="62" t="s">
        <v>22</v>
      </c>
      <c r="C181" s="145" t="s">
        <v>23</v>
      </c>
      <c r="D181" s="162" t="e">
        <f>D178/C178-1</f>
        <v>#DIV/0!</v>
      </c>
      <c r="E181" s="162" t="e">
        <f t="shared" ref="E181:F183" si="15">E178/D178-1</f>
        <v>#DIV/0!</v>
      </c>
      <c r="F181" s="162" t="e">
        <f t="shared" si="15"/>
        <v>#DIV/0!</v>
      </c>
      <c r="H181" s="163"/>
      <c r="I181" s="163"/>
      <c r="J181" s="163"/>
      <c r="K181" s="163"/>
      <c r="L181" s="163"/>
    </row>
    <row r="182" spans="2:12" ht="15.75" thickBot="1" x14ac:dyDescent="0.3">
      <c r="B182" s="62" t="s">
        <v>24</v>
      </c>
      <c r="C182" s="145" t="s">
        <v>23</v>
      </c>
      <c r="D182" s="162" t="e">
        <f>D179/C179-1</f>
        <v>#DIV/0!</v>
      </c>
      <c r="E182" s="162" t="e">
        <f t="shared" si="15"/>
        <v>#DIV/0!</v>
      </c>
      <c r="F182" s="162" t="e">
        <f t="shared" si="15"/>
        <v>#DIV/0!</v>
      </c>
    </row>
    <row r="183" spans="2:12" ht="15.75" thickBot="1" x14ac:dyDescent="0.3">
      <c r="B183" s="62" t="s">
        <v>25</v>
      </c>
      <c r="C183" s="145" t="s">
        <v>23</v>
      </c>
      <c r="D183" s="162" t="e">
        <f>D180/C180-1</f>
        <v>#DIV/0!</v>
      </c>
      <c r="E183" s="162" t="e">
        <f t="shared" si="15"/>
        <v>#DIV/0!</v>
      </c>
      <c r="F183" s="162" t="e">
        <f t="shared" si="15"/>
        <v>#DIV/0!</v>
      </c>
    </row>
    <row r="184" spans="2:12" ht="15.75" thickBot="1" x14ac:dyDescent="0.3">
      <c r="B184" s="1000" t="s">
        <v>793</v>
      </c>
      <c r="C184" s="1001"/>
      <c r="D184" s="1001"/>
      <c r="E184" s="1001"/>
      <c r="F184" s="1002"/>
    </row>
    <row r="185" spans="2:12" ht="12.75" customHeight="1" x14ac:dyDescent="0.25">
      <c r="B185" s="998"/>
      <c r="C185" s="63">
        <v>2018</v>
      </c>
      <c r="D185" s="63">
        <v>2019</v>
      </c>
      <c r="E185" s="63">
        <v>2020</v>
      </c>
      <c r="F185" s="63">
        <v>2021</v>
      </c>
    </row>
    <row r="186" spans="2:12" ht="18.75" customHeight="1" thickBot="1" x14ac:dyDescent="0.3">
      <c r="B186" s="999"/>
      <c r="C186" s="64" t="s">
        <v>10</v>
      </c>
      <c r="D186" s="64" t="s">
        <v>11</v>
      </c>
      <c r="E186" s="64" t="s">
        <v>11</v>
      </c>
      <c r="F186" s="64" t="s">
        <v>11</v>
      </c>
    </row>
    <row r="187" spans="2:12" ht="15.75" thickBot="1" x14ac:dyDescent="0.3">
      <c r="B187" s="65" t="s">
        <v>58</v>
      </c>
      <c r="C187" s="164"/>
      <c r="D187" s="164"/>
      <c r="E187" s="164"/>
      <c r="F187" s="164"/>
    </row>
    <row r="188" spans="2:12" ht="15.75" thickBot="1" x14ac:dyDescent="0.3">
      <c r="B188" s="65" t="s">
        <v>59</v>
      </c>
      <c r="C188" s="165"/>
      <c r="D188" s="164"/>
      <c r="E188" s="164"/>
      <c r="F188" s="164"/>
    </row>
    <row r="189" spans="2:12" ht="15.75" thickBot="1" x14ac:dyDescent="0.3">
      <c r="B189" s="66" t="s">
        <v>74</v>
      </c>
      <c r="C189" s="165">
        <f>C188+C187</f>
        <v>0</v>
      </c>
      <c r="D189" s="165">
        <f t="shared" ref="D189:F189" si="16">D188+D187</f>
        <v>0</v>
      </c>
      <c r="E189" s="165">
        <f t="shared" si="16"/>
        <v>0</v>
      </c>
      <c r="F189" s="165">
        <f t="shared" si="16"/>
        <v>0</v>
      </c>
    </row>
    <row r="190" spans="2:12" x14ac:dyDescent="0.25">
      <c r="B190" s="1015" t="s">
        <v>62</v>
      </c>
      <c r="C190" s="1036"/>
      <c r="D190" s="1037"/>
      <c r="E190" s="1037"/>
      <c r="F190" s="1038"/>
    </row>
    <row r="191" spans="2:12" x14ac:dyDescent="0.25">
      <c r="B191" s="1016"/>
      <c r="C191" s="1039"/>
      <c r="D191" s="1040"/>
      <c r="E191" s="1040"/>
      <c r="F191" s="1041"/>
    </row>
    <row r="192" spans="2:12" ht="15.75" thickBot="1" x14ac:dyDescent="0.3">
      <c r="B192" s="1017"/>
      <c r="C192" s="1042"/>
      <c r="D192" s="1043"/>
      <c r="E192" s="1043"/>
      <c r="F192" s="1044"/>
    </row>
    <row r="193" spans="2:6" ht="15.75" customHeight="1" thickBot="1" x14ac:dyDescent="0.3">
      <c r="B193" s="158" t="s">
        <v>67</v>
      </c>
      <c r="C193" s="992" t="s">
        <v>106</v>
      </c>
      <c r="D193" s="993"/>
      <c r="E193" s="993"/>
      <c r="F193" s="994"/>
    </row>
    <row r="194" spans="2:6" ht="15.75" customHeight="1" thickBot="1" x14ac:dyDescent="0.3">
      <c r="B194" s="983" t="s">
        <v>68</v>
      </c>
      <c r="C194" s="984"/>
      <c r="D194" s="984"/>
      <c r="E194" s="984"/>
      <c r="F194" s="985"/>
    </row>
    <row r="195" spans="2:6" ht="15.75" thickBot="1" x14ac:dyDescent="0.3">
      <c r="B195" s="146" t="s">
        <v>211</v>
      </c>
      <c r="C195" s="157" t="s">
        <v>116</v>
      </c>
      <c r="D195" s="157" t="s">
        <v>117</v>
      </c>
      <c r="E195" s="157" t="s">
        <v>117</v>
      </c>
      <c r="F195" s="157" t="s">
        <v>117</v>
      </c>
    </row>
    <row r="196" spans="2:6" ht="15.75" customHeight="1" thickBot="1" x14ac:dyDescent="0.3">
      <c r="B196" s="62" t="s">
        <v>212</v>
      </c>
      <c r="C196" s="157" t="s">
        <v>116</v>
      </c>
      <c r="D196" s="157" t="s">
        <v>117</v>
      </c>
      <c r="E196" s="157" t="s">
        <v>117</v>
      </c>
      <c r="F196" s="157" t="s">
        <v>117</v>
      </c>
    </row>
    <row r="197" spans="2:6" ht="23.25" customHeight="1" thickBot="1" x14ac:dyDescent="0.3">
      <c r="B197" s="62" t="s">
        <v>115</v>
      </c>
      <c r="C197" s="157" t="s">
        <v>116</v>
      </c>
      <c r="D197" s="157" t="s">
        <v>117</v>
      </c>
      <c r="E197" s="157" t="s">
        <v>117</v>
      </c>
      <c r="F197" s="157" t="s">
        <v>117</v>
      </c>
    </row>
    <row r="198" spans="2:6" ht="23.25" customHeight="1" thickBot="1" x14ac:dyDescent="0.3">
      <c r="B198" s="1027" t="s">
        <v>69</v>
      </c>
      <c r="C198" s="1028"/>
      <c r="D198" s="1028"/>
      <c r="E198" s="1028"/>
      <c r="F198" s="1029"/>
    </row>
    <row r="199" spans="2:6" ht="23.25" customHeight="1" thickBot="1" x14ac:dyDescent="0.3">
      <c r="B199" s="1030" t="s">
        <v>70</v>
      </c>
      <c r="C199" s="1031"/>
      <c r="D199" s="1031"/>
      <c r="E199" s="1031"/>
      <c r="F199" s="1032"/>
    </row>
    <row r="200" spans="2:6" ht="12.75" customHeight="1" x14ac:dyDescent="0.25">
      <c r="B200" s="998"/>
      <c r="C200" s="63">
        <v>2018</v>
      </c>
      <c r="D200" s="63">
        <v>2019</v>
      </c>
      <c r="E200" s="63">
        <v>2020</v>
      </c>
      <c r="F200" s="63">
        <v>2021</v>
      </c>
    </row>
    <row r="201" spans="2:6" ht="24" customHeight="1" thickBot="1" x14ac:dyDescent="0.3">
      <c r="B201" s="999"/>
      <c r="C201" s="64" t="s">
        <v>10</v>
      </c>
      <c r="D201" s="64" t="s">
        <v>11</v>
      </c>
      <c r="E201" s="64" t="s">
        <v>11</v>
      </c>
      <c r="F201" s="64" t="s">
        <v>11</v>
      </c>
    </row>
    <row r="202" spans="2:6" ht="26.25" customHeight="1" thickBot="1" x14ac:dyDescent="0.3">
      <c r="B202" s="160" t="s">
        <v>16</v>
      </c>
      <c r="C202" s="992" t="s">
        <v>106</v>
      </c>
      <c r="D202" s="993"/>
      <c r="E202" s="993"/>
      <c r="F202" s="994"/>
    </row>
    <row r="203" spans="2:6" ht="16.5" customHeight="1" thickBot="1" x14ac:dyDescent="0.3">
      <c r="B203" s="62" t="s">
        <v>17</v>
      </c>
      <c r="C203" s="983" t="s">
        <v>106</v>
      </c>
      <c r="D203" s="984"/>
      <c r="E203" s="984"/>
      <c r="F203" s="985"/>
    </row>
    <row r="204" spans="2:6" ht="15.75" customHeight="1" thickBot="1" x14ac:dyDescent="0.3">
      <c r="B204" s="62" t="s">
        <v>18</v>
      </c>
      <c r="C204" s="995" t="s">
        <v>106</v>
      </c>
      <c r="D204" s="996"/>
      <c r="E204" s="996"/>
      <c r="F204" s="997"/>
    </row>
    <row r="205" spans="2:6" ht="12.75" customHeight="1" x14ac:dyDescent="0.25">
      <c r="B205" s="998"/>
      <c r="C205" s="63">
        <v>2018</v>
      </c>
      <c r="D205" s="63">
        <v>2019</v>
      </c>
      <c r="E205" s="63">
        <v>2020</v>
      </c>
      <c r="F205" s="63">
        <v>2021</v>
      </c>
    </row>
    <row r="206" spans="2:6" ht="21" customHeight="1" thickBot="1" x14ac:dyDescent="0.3">
      <c r="B206" s="999"/>
      <c r="C206" s="64" t="s">
        <v>10</v>
      </c>
      <c r="D206" s="64" t="s">
        <v>11</v>
      </c>
      <c r="E206" s="64" t="s">
        <v>11</v>
      </c>
      <c r="F206" s="64" t="s">
        <v>11</v>
      </c>
    </row>
    <row r="207" spans="2:6" ht="15.75" customHeight="1" thickBot="1" x14ac:dyDescent="0.3">
      <c r="B207" s="62" t="s">
        <v>19</v>
      </c>
      <c r="C207" s="161"/>
      <c r="D207" s="203"/>
      <c r="E207" s="203"/>
      <c r="F207" s="203"/>
    </row>
    <row r="208" spans="2:6" ht="15.75" thickBot="1" x14ac:dyDescent="0.3">
      <c r="B208" s="62" t="s">
        <v>20</v>
      </c>
      <c r="C208" s="161"/>
      <c r="D208" s="161"/>
      <c r="E208" s="161"/>
      <c r="F208" s="161"/>
    </row>
    <row r="209" spans="2:6" ht="15.75" thickBot="1" x14ac:dyDescent="0.3">
      <c r="B209" s="62" t="s">
        <v>21</v>
      </c>
      <c r="C209" s="161" t="e">
        <f>C208/C207</f>
        <v>#DIV/0!</v>
      </c>
      <c r="D209" s="161" t="e">
        <f t="shared" ref="D209:F209" si="17">D208/D207</f>
        <v>#DIV/0!</v>
      </c>
      <c r="E209" s="161" t="e">
        <f t="shared" si="17"/>
        <v>#DIV/0!</v>
      </c>
      <c r="F209" s="161" t="e">
        <f t="shared" si="17"/>
        <v>#DIV/0!</v>
      </c>
    </row>
    <row r="210" spans="2:6" ht="15.75" thickBot="1" x14ac:dyDescent="0.3">
      <c r="B210" s="62" t="s">
        <v>22</v>
      </c>
      <c r="C210" s="145"/>
      <c r="D210" s="162" t="e">
        <f>D207/C207-1</f>
        <v>#DIV/0!</v>
      </c>
      <c r="E210" s="162" t="e">
        <f t="shared" ref="E210:F212" si="18">E207/D207-1</f>
        <v>#DIV/0!</v>
      </c>
      <c r="F210" s="162" t="e">
        <f t="shared" si="18"/>
        <v>#DIV/0!</v>
      </c>
    </row>
    <row r="211" spans="2:6" ht="15.75" thickBot="1" x14ac:dyDescent="0.3">
      <c r="B211" s="62" t="s">
        <v>24</v>
      </c>
      <c r="C211" s="145"/>
      <c r="D211" s="162" t="e">
        <f>D208/C208-1</f>
        <v>#DIV/0!</v>
      </c>
      <c r="E211" s="162" t="e">
        <f t="shared" si="18"/>
        <v>#DIV/0!</v>
      </c>
      <c r="F211" s="162" t="e">
        <f t="shared" si="18"/>
        <v>#DIV/0!</v>
      </c>
    </row>
    <row r="212" spans="2:6" ht="15.75" thickBot="1" x14ac:dyDescent="0.3">
      <c r="B212" s="62" t="s">
        <v>25</v>
      </c>
      <c r="C212" s="145"/>
      <c r="D212" s="162" t="e">
        <f>D209/C209-1</f>
        <v>#DIV/0!</v>
      </c>
      <c r="E212" s="162" t="e">
        <f t="shared" si="18"/>
        <v>#DIV/0!</v>
      </c>
      <c r="F212" s="162" t="e">
        <f t="shared" si="18"/>
        <v>#DIV/0!</v>
      </c>
    </row>
    <row r="213" spans="2:6" ht="12.75" customHeight="1" x14ac:dyDescent="0.25">
      <c r="B213" s="998"/>
      <c r="C213" s="63">
        <v>2018</v>
      </c>
      <c r="D213" s="63">
        <v>2019</v>
      </c>
      <c r="E213" s="63">
        <v>2020</v>
      </c>
      <c r="F213" s="63">
        <v>2021</v>
      </c>
    </row>
    <row r="214" spans="2:6" ht="27.75" customHeight="1" thickBot="1" x14ac:dyDescent="0.3">
      <c r="B214" s="999"/>
      <c r="C214" s="64" t="s">
        <v>10</v>
      </c>
      <c r="D214" s="64" t="s">
        <v>11</v>
      </c>
      <c r="E214" s="64" t="s">
        <v>11</v>
      </c>
      <c r="F214" s="64" t="s">
        <v>11</v>
      </c>
    </row>
    <row r="215" spans="2:6" ht="15.75" thickBot="1" x14ac:dyDescent="0.3">
      <c r="B215" s="1000" t="s">
        <v>794</v>
      </c>
      <c r="C215" s="1001"/>
      <c r="D215" s="1001"/>
      <c r="E215" s="1001"/>
      <c r="F215" s="1002"/>
    </row>
    <row r="216" spans="2:6" ht="12.75" customHeight="1" x14ac:dyDescent="0.25">
      <c r="B216" s="998"/>
      <c r="C216" s="63">
        <v>2018</v>
      </c>
      <c r="D216" s="63">
        <v>2019</v>
      </c>
      <c r="E216" s="63">
        <v>2020</v>
      </c>
      <c r="F216" s="63">
        <v>2021</v>
      </c>
    </row>
    <row r="217" spans="2:6" ht="22.5" customHeight="1" thickBot="1" x14ac:dyDescent="0.3">
      <c r="B217" s="999"/>
      <c r="C217" s="64" t="s">
        <v>10</v>
      </c>
      <c r="D217" s="64" t="s">
        <v>11</v>
      </c>
      <c r="E217" s="64" t="s">
        <v>11</v>
      </c>
      <c r="F217" s="64" t="s">
        <v>11</v>
      </c>
    </row>
    <row r="218" spans="2:6" ht="15.75" thickBot="1" x14ac:dyDescent="0.3">
      <c r="B218" s="65" t="s">
        <v>26</v>
      </c>
      <c r="C218" s="164"/>
      <c r="D218" s="164"/>
      <c r="E218" s="164"/>
      <c r="F218" s="164"/>
    </row>
    <row r="219" spans="2:6" ht="30.75" thickBot="1" x14ac:dyDescent="0.3">
      <c r="B219" s="181" t="s">
        <v>27</v>
      </c>
      <c r="C219" s="165"/>
      <c r="D219" s="182"/>
      <c r="E219" s="182"/>
      <c r="F219" s="182"/>
    </row>
    <row r="220" spans="2:6" ht="30.75" thickBot="1" x14ac:dyDescent="0.3">
      <c r="B220" s="181" t="s">
        <v>45</v>
      </c>
      <c r="C220" s="165"/>
      <c r="D220" s="182"/>
      <c r="E220" s="182"/>
      <c r="F220" s="182"/>
    </row>
    <row r="221" spans="2:6" ht="15.75" thickBot="1" x14ac:dyDescent="0.3">
      <c r="B221" s="65" t="s">
        <v>28</v>
      </c>
      <c r="C221" s="164"/>
      <c r="D221" s="164"/>
      <c r="E221" s="164"/>
      <c r="F221" s="164"/>
    </row>
    <row r="222" spans="2:6" ht="45.75" thickBot="1" x14ac:dyDescent="0.3">
      <c r="B222" s="181" t="s">
        <v>29</v>
      </c>
      <c r="C222" s="165"/>
      <c r="D222" s="164"/>
      <c r="E222" s="164"/>
      <c r="F222" s="164"/>
    </row>
    <row r="223" spans="2:6" ht="45.75" thickBot="1" x14ac:dyDescent="0.3">
      <c r="B223" s="181" t="s">
        <v>46</v>
      </c>
      <c r="C223" s="165"/>
      <c r="D223" s="164"/>
      <c r="E223" s="164"/>
      <c r="F223" s="164"/>
    </row>
    <row r="224" spans="2:6" ht="15.75" thickBot="1" x14ac:dyDescent="0.3">
      <c r="B224" s="65" t="s">
        <v>30</v>
      </c>
      <c r="C224" s="165"/>
      <c r="D224" s="164"/>
      <c r="E224" s="164"/>
      <c r="F224" s="164"/>
    </row>
    <row r="225" spans="2:6" ht="30.75" thickBot="1" x14ac:dyDescent="0.3">
      <c r="B225" s="181" t="s">
        <v>31</v>
      </c>
      <c r="C225" s="165"/>
      <c r="D225" s="164"/>
      <c r="E225" s="164"/>
      <c r="F225" s="164"/>
    </row>
    <row r="226" spans="2:6" ht="30.75" thickBot="1" x14ac:dyDescent="0.3">
      <c r="B226" s="181" t="s">
        <v>47</v>
      </c>
      <c r="C226" s="165"/>
      <c r="D226" s="164"/>
      <c r="E226" s="164"/>
      <c r="F226" s="164"/>
    </row>
    <row r="227" spans="2:6" ht="15.75" thickBot="1" x14ac:dyDescent="0.3">
      <c r="B227" s="65" t="s">
        <v>32</v>
      </c>
      <c r="C227" s="165"/>
      <c r="D227" s="164"/>
      <c r="E227" s="164"/>
      <c r="F227" s="164"/>
    </row>
    <row r="228" spans="2:6" ht="30.75" thickBot="1" x14ac:dyDescent="0.3">
      <c r="B228" s="181" t="s">
        <v>33</v>
      </c>
      <c r="C228" s="165"/>
      <c r="D228" s="164"/>
      <c r="E228" s="164"/>
      <c r="F228" s="164"/>
    </row>
    <row r="229" spans="2:6" ht="30.75" thickBot="1" x14ac:dyDescent="0.3">
      <c r="B229" s="181" t="s">
        <v>48</v>
      </c>
      <c r="C229" s="165"/>
      <c r="D229" s="164"/>
      <c r="E229" s="164"/>
      <c r="F229" s="164"/>
    </row>
    <row r="230" spans="2:6" ht="15.75" thickBot="1" x14ac:dyDescent="0.3">
      <c r="B230" s="65" t="s">
        <v>34</v>
      </c>
      <c r="C230" s="165"/>
      <c r="D230" s="164"/>
      <c r="E230" s="164"/>
      <c r="F230" s="164"/>
    </row>
    <row r="231" spans="2:6" ht="30.75" thickBot="1" x14ac:dyDescent="0.3">
      <c r="B231" s="181" t="s">
        <v>35</v>
      </c>
      <c r="C231" s="165"/>
      <c r="D231" s="164"/>
      <c r="E231" s="164"/>
      <c r="F231" s="164"/>
    </row>
    <row r="232" spans="2:6" ht="30.75" thickBot="1" x14ac:dyDescent="0.3">
      <c r="B232" s="181" t="s">
        <v>49</v>
      </c>
      <c r="C232" s="165"/>
      <c r="D232" s="164"/>
      <c r="E232" s="164"/>
      <c r="F232" s="164"/>
    </row>
    <row r="233" spans="2:6" ht="15.75" thickBot="1" x14ac:dyDescent="0.3">
      <c r="B233" s="65" t="s">
        <v>36</v>
      </c>
      <c r="C233" s="165"/>
      <c r="D233" s="164"/>
      <c r="E233" s="164"/>
      <c r="F233" s="164"/>
    </row>
    <row r="234" spans="2:6" ht="30.75" thickBot="1" x14ac:dyDescent="0.3">
      <c r="B234" s="181" t="s">
        <v>37</v>
      </c>
      <c r="C234" s="165"/>
      <c r="D234" s="164"/>
      <c r="E234" s="164"/>
      <c r="F234" s="164"/>
    </row>
    <row r="235" spans="2:6" ht="30.75" thickBot="1" x14ac:dyDescent="0.3">
      <c r="B235" s="181" t="s">
        <v>50</v>
      </c>
      <c r="C235" s="165"/>
      <c r="D235" s="164"/>
      <c r="E235" s="164"/>
      <c r="F235" s="164"/>
    </row>
    <row r="236" spans="2:6" ht="15.75" thickBot="1" x14ac:dyDescent="0.3">
      <c r="B236" s="65" t="s">
        <v>38</v>
      </c>
      <c r="C236" s="165"/>
      <c r="D236" s="164"/>
      <c r="E236" s="164"/>
      <c r="F236" s="164"/>
    </row>
    <row r="237" spans="2:6" ht="30.75" thickBot="1" x14ac:dyDescent="0.3">
      <c r="B237" s="181" t="s">
        <v>39</v>
      </c>
      <c r="C237" s="165"/>
      <c r="D237" s="164"/>
      <c r="E237" s="164"/>
      <c r="F237" s="164"/>
    </row>
    <row r="238" spans="2:6" ht="30.75" thickBot="1" x14ac:dyDescent="0.3">
      <c r="B238" s="181" t="s">
        <v>51</v>
      </c>
      <c r="C238" s="165"/>
      <c r="D238" s="164"/>
      <c r="E238" s="164"/>
      <c r="F238" s="164"/>
    </row>
    <row r="239" spans="2:6" ht="30.75" thickBot="1" x14ac:dyDescent="0.3">
      <c r="B239" s="204" t="s">
        <v>71</v>
      </c>
      <c r="C239" s="205">
        <f>C236+C233+C230+C227+C224+C221+C218</f>
        <v>0</v>
      </c>
      <c r="D239" s="205">
        <f t="shared" ref="D239:F239" si="19">D236+D233+D230+D227+D224+D221+D218</f>
        <v>0</v>
      </c>
      <c r="E239" s="205">
        <f t="shared" si="19"/>
        <v>0</v>
      </c>
      <c r="F239" s="205">
        <f t="shared" si="19"/>
        <v>0</v>
      </c>
    </row>
    <row r="240" spans="2:6" x14ac:dyDescent="0.25">
      <c r="B240" s="1015" t="s">
        <v>119</v>
      </c>
      <c r="C240" s="1037" t="s">
        <v>23</v>
      </c>
      <c r="D240" s="1037"/>
      <c r="E240" s="1037"/>
      <c r="F240" s="1038"/>
    </row>
    <row r="241" spans="2:6" x14ac:dyDescent="0.25">
      <c r="B241" s="1016"/>
      <c r="C241" s="1040"/>
      <c r="D241" s="1040"/>
      <c r="E241" s="1040"/>
      <c r="F241" s="1041"/>
    </row>
    <row r="242" spans="2:6" ht="15.75" thickBot="1" x14ac:dyDescent="0.3">
      <c r="B242" s="1017"/>
      <c r="C242" s="1043"/>
      <c r="D242" s="1043"/>
      <c r="E242" s="1043"/>
      <c r="F242" s="1044"/>
    </row>
    <row r="243" spans="2:6" ht="15.75" thickBot="1" x14ac:dyDescent="0.3">
      <c r="B243" s="166" t="s">
        <v>41</v>
      </c>
      <c r="C243" s="167">
        <f>IF(C239-C208=0,0,"Error")</f>
        <v>0</v>
      </c>
      <c r="D243" s="167">
        <f>IF(D239-D208=0,0,"Error")</f>
        <v>0</v>
      </c>
      <c r="E243" s="167">
        <f>IF(E239-E208=0,0,"Error")</f>
        <v>0</v>
      </c>
      <c r="F243" s="167">
        <f>IF(F239-F208=0,0,"Error")</f>
        <v>0</v>
      </c>
    </row>
    <row r="244" spans="2:6" ht="15.75" thickBot="1" x14ac:dyDescent="0.3">
      <c r="B244" s="195" t="s">
        <v>791</v>
      </c>
      <c r="C244" s="992" t="s">
        <v>106</v>
      </c>
      <c r="D244" s="993"/>
      <c r="E244" s="993"/>
      <c r="F244" s="994"/>
    </row>
    <row r="245" spans="2:6" ht="15.75" thickBot="1" x14ac:dyDescent="0.3">
      <c r="B245" s="62" t="s">
        <v>17</v>
      </c>
      <c r="C245" s="983" t="s">
        <v>106</v>
      </c>
      <c r="D245" s="984"/>
      <c r="E245" s="984"/>
      <c r="F245" s="985"/>
    </row>
    <row r="246" spans="2:6" ht="15.75" thickBot="1" x14ac:dyDescent="0.3">
      <c r="B246" s="62" t="s">
        <v>18</v>
      </c>
      <c r="C246" s="995" t="s">
        <v>106</v>
      </c>
      <c r="D246" s="996"/>
      <c r="E246" s="996"/>
      <c r="F246" s="997"/>
    </row>
    <row r="247" spans="2:6" ht="12.75" customHeight="1" x14ac:dyDescent="0.25">
      <c r="B247" s="998"/>
      <c r="C247" s="63">
        <v>2018</v>
      </c>
      <c r="D247" s="63">
        <v>2019</v>
      </c>
      <c r="E247" s="63">
        <v>2020</v>
      </c>
      <c r="F247" s="63">
        <v>2021</v>
      </c>
    </row>
    <row r="248" spans="2:6" ht="19.5" customHeight="1" thickBot="1" x14ac:dyDescent="0.3">
      <c r="B248" s="999"/>
      <c r="C248" s="64" t="s">
        <v>10</v>
      </c>
      <c r="D248" s="64" t="s">
        <v>11</v>
      </c>
      <c r="E248" s="64" t="s">
        <v>11</v>
      </c>
      <c r="F248" s="64" t="s">
        <v>11</v>
      </c>
    </row>
    <row r="249" spans="2:6" ht="15.75" thickBot="1" x14ac:dyDescent="0.3">
      <c r="B249" s="62" t="s">
        <v>19</v>
      </c>
      <c r="C249" s="161"/>
      <c r="D249" s="161"/>
      <c r="E249" s="161"/>
      <c r="F249" s="161"/>
    </row>
    <row r="250" spans="2:6" ht="15.75" thickBot="1" x14ac:dyDescent="0.3">
      <c r="B250" s="62" t="s">
        <v>20</v>
      </c>
      <c r="C250" s="161"/>
      <c r="D250" s="161"/>
      <c r="E250" s="161"/>
      <c r="F250" s="161"/>
    </row>
    <row r="251" spans="2:6" ht="15.75" thickBot="1" x14ac:dyDescent="0.3">
      <c r="B251" s="62" t="s">
        <v>21</v>
      </c>
      <c r="C251" s="161" t="e">
        <f>C250/C249</f>
        <v>#DIV/0!</v>
      </c>
      <c r="D251" s="161" t="e">
        <f t="shared" ref="D251:F251" si="20">D250/D249</f>
        <v>#DIV/0!</v>
      </c>
      <c r="E251" s="161" t="e">
        <f t="shared" si="20"/>
        <v>#DIV/0!</v>
      </c>
      <c r="F251" s="161" t="e">
        <f t="shared" si="20"/>
        <v>#DIV/0!</v>
      </c>
    </row>
    <row r="252" spans="2:6" ht="15.75" thickBot="1" x14ac:dyDescent="0.3">
      <c r="B252" s="62" t="s">
        <v>22</v>
      </c>
      <c r="C252" s="145"/>
      <c r="D252" s="162" t="e">
        <f>D249/C249-1</f>
        <v>#DIV/0!</v>
      </c>
      <c r="E252" s="162" t="e">
        <f t="shared" ref="E252:F254" si="21">E249/D249-1</f>
        <v>#DIV/0!</v>
      </c>
      <c r="F252" s="162" t="e">
        <f t="shared" si="21"/>
        <v>#DIV/0!</v>
      </c>
    </row>
    <row r="253" spans="2:6" ht="15.75" thickBot="1" x14ac:dyDescent="0.3">
      <c r="B253" s="62" t="s">
        <v>24</v>
      </c>
      <c r="C253" s="145"/>
      <c r="D253" s="162" t="e">
        <f>D250/C250-1</f>
        <v>#DIV/0!</v>
      </c>
      <c r="E253" s="162" t="e">
        <f t="shared" si="21"/>
        <v>#DIV/0!</v>
      </c>
      <c r="F253" s="162" t="e">
        <f t="shared" si="21"/>
        <v>#DIV/0!</v>
      </c>
    </row>
    <row r="254" spans="2:6" ht="15.75" thickBot="1" x14ac:dyDescent="0.3">
      <c r="B254" s="62" t="s">
        <v>25</v>
      </c>
      <c r="C254" s="145"/>
      <c r="D254" s="162" t="e">
        <f>D251/C251-1</f>
        <v>#DIV/0!</v>
      </c>
      <c r="E254" s="162" t="e">
        <f t="shared" si="21"/>
        <v>#DIV/0!</v>
      </c>
      <c r="F254" s="162" t="e">
        <f t="shared" si="21"/>
        <v>#DIV/0!</v>
      </c>
    </row>
    <row r="255" spans="2:6" ht="15.75" thickBot="1" x14ac:dyDescent="0.3">
      <c r="B255" s="1000" t="s">
        <v>793</v>
      </c>
      <c r="C255" s="1001"/>
      <c r="D255" s="1001"/>
      <c r="E255" s="1001"/>
      <c r="F255" s="1002"/>
    </row>
    <row r="256" spans="2:6" ht="12.75" customHeight="1" x14ac:dyDescent="0.25">
      <c r="B256" s="998"/>
      <c r="C256" s="63">
        <v>2018</v>
      </c>
      <c r="D256" s="63">
        <v>2019</v>
      </c>
      <c r="E256" s="63">
        <v>2020</v>
      </c>
      <c r="F256" s="63">
        <v>2021</v>
      </c>
    </row>
    <row r="257" spans="2:6" ht="17.25" customHeight="1" thickBot="1" x14ac:dyDescent="0.3">
      <c r="B257" s="999"/>
      <c r="C257" s="64" t="s">
        <v>10</v>
      </c>
      <c r="D257" s="64" t="s">
        <v>11</v>
      </c>
      <c r="E257" s="64" t="s">
        <v>11</v>
      </c>
      <c r="F257" s="64" t="s">
        <v>11</v>
      </c>
    </row>
    <row r="258" spans="2:6" ht="15.75" thickBot="1" x14ac:dyDescent="0.3">
      <c r="B258" s="65" t="s">
        <v>26</v>
      </c>
      <c r="C258" s="164"/>
      <c r="D258" s="164"/>
      <c r="E258" s="164"/>
      <c r="F258" s="164"/>
    </row>
    <row r="259" spans="2:6" ht="30.75" thickBot="1" x14ac:dyDescent="0.3">
      <c r="B259" s="181" t="s">
        <v>27</v>
      </c>
      <c r="C259" s="165"/>
      <c r="D259" s="182"/>
      <c r="E259" s="182"/>
      <c r="F259" s="182"/>
    </row>
    <row r="260" spans="2:6" ht="30.75" thickBot="1" x14ac:dyDescent="0.3">
      <c r="B260" s="181" t="s">
        <v>45</v>
      </c>
      <c r="C260" s="165"/>
      <c r="D260" s="182"/>
      <c r="E260" s="182"/>
      <c r="F260" s="182"/>
    </row>
    <row r="261" spans="2:6" ht="15.75" thickBot="1" x14ac:dyDescent="0.3">
      <c r="B261" s="65" t="s">
        <v>28</v>
      </c>
      <c r="C261" s="164"/>
      <c r="D261" s="164"/>
      <c r="E261" s="164"/>
      <c r="F261" s="164"/>
    </row>
    <row r="262" spans="2:6" ht="45.75" thickBot="1" x14ac:dyDescent="0.3">
      <c r="B262" s="181" t="s">
        <v>29</v>
      </c>
      <c r="C262" s="165"/>
      <c r="D262" s="164"/>
      <c r="E262" s="164"/>
      <c r="F262" s="164"/>
    </row>
    <row r="263" spans="2:6" ht="45.75" thickBot="1" x14ac:dyDescent="0.3">
      <c r="B263" s="181" t="s">
        <v>46</v>
      </c>
      <c r="C263" s="165"/>
      <c r="D263" s="164"/>
      <c r="E263" s="164"/>
      <c r="F263" s="164"/>
    </row>
    <row r="264" spans="2:6" ht="15.75" thickBot="1" x14ac:dyDescent="0.3">
      <c r="B264" s="65" t="s">
        <v>30</v>
      </c>
      <c r="C264" s="165"/>
      <c r="D264" s="164"/>
      <c r="E264" s="164"/>
      <c r="F264" s="164"/>
    </row>
    <row r="265" spans="2:6" ht="30.75" thickBot="1" x14ac:dyDescent="0.3">
      <c r="B265" s="181" t="s">
        <v>31</v>
      </c>
      <c r="C265" s="165"/>
      <c r="D265" s="164"/>
      <c r="E265" s="164"/>
      <c r="F265" s="164"/>
    </row>
    <row r="266" spans="2:6" ht="30.75" thickBot="1" x14ac:dyDescent="0.3">
      <c r="B266" s="181" t="s">
        <v>47</v>
      </c>
      <c r="C266" s="165"/>
      <c r="D266" s="164"/>
      <c r="E266" s="164"/>
      <c r="F266" s="164"/>
    </row>
    <row r="267" spans="2:6" ht="15.75" thickBot="1" x14ac:dyDescent="0.3">
      <c r="B267" s="65" t="s">
        <v>32</v>
      </c>
      <c r="C267" s="165"/>
      <c r="D267" s="164"/>
      <c r="E267" s="164"/>
      <c r="F267" s="164"/>
    </row>
    <row r="268" spans="2:6" ht="30.75" thickBot="1" x14ac:dyDescent="0.3">
      <c r="B268" s="181" t="s">
        <v>33</v>
      </c>
      <c r="C268" s="165"/>
      <c r="D268" s="164"/>
      <c r="E268" s="164"/>
      <c r="F268" s="164"/>
    </row>
    <row r="269" spans="2:6" ht="30.75" thickBot="1" x14ac:dyDescent="0.3">
      <c r="B269" s="181" t="s">
        <v>48</v>
      </c>
      <c r="C269" s="165"/>
      <c r="D269" s="164"/>
      <c r="E269" s="164"/>
      <c r="F269" s="164"/>
    </row>
    <row r="270" spans="2:6" ht="15.75" thickBot="1" x14ac:dyDescent="0.3">
      <c r="B270" s="65" t="s">
        <v>34</v>
      </c>
      <c r="C270" s="165"/>
      <c r="D270" s="164"/>
      <c r="E270" s="164"/>
      <c r="F270" s="164"/>
    </row>
    <row r="271" spans="2:6" ht="30.75" thickBot="1" x14ac:dyDescent="0.3">
      <c r="B271" s="181" t="s">
        <v>35</v>
      </c>
      <c r="C271" s="165"/>
      <c r="D271" s="164"/>
      <c r="E271" s="164"/>
      <c r="F271" s="164"/>
    </row>
    <row r="272" spans="2:6" ht="30.75" thickBot="1" x14ac:dyDescent="0.3">
      <c r="B272" s="181" t="s">
        <v>49</v>
      </c>
      <c r="C272" s="165"/>
      <c r="D272" s="164"/>
      <c r="E272" s="164"/>
      <c r="F272" s="164"/>
    </row>
    <row r="273" spans="2:6" ht="15.75" thickBot="1" x14ac:dyDescent="0.3">
      <c r="B273" s="65" t="s">
        <v>36</v>
      </c>
      <c r="C273" s="165"/>
      <c r="D273" s="164"/>
      <c r="E273" s="164"/>
      <c r="F273" s="164"/>
    </row>
    <row r="274" spans="2:6" ht="30.75" thickBot="1" x14ac:dyDescent="0.3">
      <c r="B274" s="181" t="s">
        <v>37</v>
      </c>
      <c r="C274" s="165"/>
      <c r="D274" s="164"/>
      <c r="E274" s="164"/>
      <c r="F274" s="164"/>
    </row>
    <row r="275" spans="2:6" ht="30.75" thickBot="1" x14ac:dyDescent="0.3">
      <c r="B275" s="181" t="s">
        <v>50</v>
      </c>
      <c r="C275" s="165"/>
      <c r="D275" s="164"/>
      <c r="E275" s="164"/>
      <c r="F275" s="164"/>
    </row>
    <row r="276" spans="2:6" ht="15.75" thickBot="1" x14ac:dyDescent="0.3">
      <c r="B276" s="65" t="s">
        <v>38</v>
      </c>
      <c r="C276" s="165"/>
      <c r="D276" s="164"/>
      <c r="E276" s="164"/>
      <c r="F276" s="164"/>
    </row>
    <row r="277" spans="2:6" ht="30.75" thickBot="1" x14ac:dyDescent="0.3">
      <c r="B277" s="181" t="s">
        <v>39</v>
      </c>
      <c r="C277" s="165"/>
      <c r="D277" s="164"/>
      <c r="E277" s="164"/>
      <c r="F277" s="164"/>
    </row>
    <row r="278" spans="2:6" ht="30.75" thickBot="1" x14ac:dyDescent="0.3">
      <c r="B278" s="181" t="s">
        <v>51</v>
      </c>
      <c r="C278" s="165"/>
      <c r="D278" s="164"/>
      <c r="E278" s="164"/>
      <c r="F278" s="164"/>
    </row>
    <row r="279" spans="2:6" ht="30.75" thickBot="1" x14ac:dyDescent="0.3">
      <c r="B279" s="204" t="s">
        <v>71</v>
      </c>
      <c r="C279" s="219">
        <f>C276+C270+C273+C267+C264+C261+C258</f>
        <v>0</v>
      </c>
      <c r="D279" s="219">
        <f t="shared" ref="D279:F279" si="22">D276+D270+D273+D267+D264+D261+D258</f>
        <v>0</v>
      </c>
      <c r="E279" s="219">
        <f t="shared" si="22"/>
        <v>0</v>
      </c>
      <c r="F279" s="219">
        <f t="shared" si="22"/>
        <v>0</v>
      </c>
    </row>
    <row r="280" spans="2:6" x14ac:dyDescent="0.25">
      <c r="B280" s="1015" t="s">
        <v>120</v>
      </c>
      <c r="C280" s="1037"/>
      <c r="D280" s="1037"/>
      <c r="E280" s="1037"/>
      <c r="F280" s="1038"/>
    </row>
    <row r="281" spans="2:6" x14ac:dyDescent="0.25">
      <c r="B281" s="1016"/>
      <c r="C281" s="1040"/>
      <c r="D281" s="1040"/>
      <c r="E281" s="1040"/>
      <c r="F281" s="1041"/>
    </row>
    <row r="282" spans="2:6" ht="15.75" thickBot="1" x14ac:dyDescent="0.3">
      <c r="B282" s="1017"/>
      <c r="C282" s="1043"/>
      <c r="D282" s="1043"/>
      <c r="E282" s="1043"/>
      <c r="F282" s="1044"/>
    </row>
    <row r="283" spans="2:6" ht="15.75" thickBot="1" x14ac:dyDescent="0.3">
      <c r="B283" s="166" t="s">
        <v>41</v>
      </c>
      <c r="C283" s="167">
        <f>IF(C279-C250=0,0,"Error")</f>
        <v>0</v>
      </c>
      <c r="D283" s="167">
        <f>IF(D279-D250=0,0,"Error")</f>
        <v>0</v>
      </c>
      <c r="E283" s="167">
        <f>IF(E279-E250=0,0,"Error")</f>
        <v>0</v>
      </c>
      <c r="F283" s="167">
        <f>IF(F279-F250=0,0,"Error")</f>
        <v>0</v>
      </c>
    </row>
    <row r="284" spans="2:6" ht="15.75" thickBot="1" x14ac:dyDescent="0.3">
      <c r="B284" s="989" t="s">
        <v>63</v>
      </c>
      <c r="C284" s="990"/>
      <c r="D284" s="990"/>
      <c r="E284" s="990"/>
      <c r="F284" s="991"/>
    </row>
    <row r="285" spans="2:6" ht="15.75" thickBot="1" x14ac:dyDescent="0.3">
      <c r="B285" s="989" t="s">
        <v>56</v>
      </c>
      <c r="C285" s="990"/>
      <c r="D285" s="990"/>
      <c r="E285" s="990"/>
      <c r="F285" s="991"/>
    </row>
    <row r="286" spans="2:6" ht="15.75" thickBot="1" x14ac:dyDescent="0.3">
      <c r="B286" s="67" t="s">
        <v>61</v>
      </c>
      <c r="C286" s="1009" t="s">
        <v>130</v>
      </c>
      <c r="D286" s="1010"/>
      <c r="E286" s="1010"/>
      <c r="F286" s="1011"/>
    </row>
    <row r="287" spans="2:6" ht="15.75" thickBot="1" x14ac:dyDescent="0.3">
      <c r="B287" s="160" t="s">
        <v>16</v>
      </c>
      <c r="C287" s="992" t="s">
        <v>106</v>
      </c>
      <c r="D287" s="993"/>
      <c r="E287" s="993"/>
      <c r="F287" s="994"/>
    </row>
    <row r="288" spans="2:6" ht="17.25" customHeight="1" thickBot="1" x14ac:dyDescent="0.3">
      <c r="B288" s="62" t="s">
        <v>17</v>
      </c>
      <c r="C288" s="983" t="s">
        <v>106</v>
      </c>
      <c r="D288" s="984"/>
      <c r="E288" s="984"/>
      <c r="F288" s="985"/>
    </row>
    <row r="289" spans="2:12" ht="15.75" thickBot="1" x14ac:dyDescent="0.3">
      <c r="B289" s="62" t="s">
        <v>18</v>
      </c>
      <c r="C289" s="995" t="s">
        <v>106</v>
      </c>
      <c r="D289" s="996"/>
      <c r="E289" s="996"/>
      <c r="F289" s="997"/>
    </row>
    <row r="290" spans="2:12" ht="12.75" customHeight="1" x14ac:dyDescent="0.25">
      <c r="B290" s="998"/>
      <c r="C290" s="63">
        <v>2018</v>
      </c>
      <c r="D290" s="63">
        <v>2019</v>
      </c>
      <c r="E290" s="63">
        <v>2020</v>
      </c>
      <c r="F290" s="63">
        <v>2021</v>
      </c>
    </row>
    <row r="291" spans="2:12" ht="30.75" customHeight="1" thickBot="1" x14ac:dyDescent="0.3">
      <c r="B291" s="999"/>
      <c r="C291" s="64" t="s">
        <v>10</v>
      </c>
      <c r="D291" s="64" t="s">
        <v>11</v>
      </c>
      <c r="E291" s="64" t="s">
        <v>11</v>
      </c>
      <c r="F291" s="64" t="s">
        <v>11</v>
      </c>
    </row>
    <row r="292" spans="2:12" ht="15.75" thickBot="1" x14ac:dyDescent="0.3">
      <c r="B292" s="62" t="s">
        <v>19</v>
      </c>
      <c r="C292" s="161"/>
      <c r="D292" s="161"/>
      <c r="E292" s="161"/>
      <c r="F292" s="161"/>
    </row>
    <row r="293" spans="2:12" ht="15.75" thickBot="1" x14ac:dyDescent="0.3">
      <c r="B293" s="62" t="s">
        <v>20</v>
      </c>
      <c r="C293" s="161"/>
      <c r="D293" s="161"/>
      <c r="E293" s="161"/>
      <c r="F293" s="161"/>
    </row>
    <row r="294" spans="2:12" ht="15.75" thickBot="1" x14ac:dyDescent="0.3">
      <c r="B294" s="62" t="s">
        <v>21</v>
      </c>
      <c r="C294" s="161" t="e">
        <f>C293/C292</f>
        <v>#DIV/0!</v>
      </c>
      <c r="D294" s="161" t="e">
        <f t="shared" ref="D294:F294" si="23">D293/D292</f>
        <v>#DIV/0!</v>
      </c>
      <c r="E294" s="161" t="e">
        <f t="shared" si="23"/>
        <v>#DIV/0!</v>
      </c>
      <c r="F294" s="161" t="e">
        <f t="shared" si="23"/>
        <v>#DIV/0!</v>
      </c>
    </row>
    <row r="295" spans="2:12" ht="15.75" thickBot="1" x14ac:dyDescent="0.3">
      <c r="B295" s="62" t="s">
        <v>22</v>
      </c>
      <c r="C295" s="145" t="s">
        <v>23</v>
      </c>
      <c r="D295" s="162" t="e">
        <f>D292/C292-1</f>
        <v>#DIV/0!</v>
      </c>
      <c r="E295" s="162" t="e">
        <f t="shared" ref="E295:F297" si="24">E292/D292-1</f>
        <v>#DIV/0!</v>
      </c>
      <c r="F295" s="162" t="e">
        <f t="shared" si="24"/>
        <v>#DIV/0!</v>
      </c>
      <c r="H295" s="163"/>
      <c r="I295" s="163"/>
      <c r="J295" s="163"/>
      <c r="K295" s="163"/>
      <c r="L295" s="163"/>
    </row>
    <row r="296" spans="2:12" ht="15.75" thickBot="1" x14ac:dyDescent="0.3">
      <c r="B296" s="62" t="s">
        <v>24</v>
      </c>
      <c r="C296" s="145" t="s">
        <v>23</v>
      </c>
      <c r="D296" s="162" t="e">
        <f>D293/C293-1</f>
        <v>#DIV/0!</v>
      </c>
      <c r="E296" s="162" t="e">
        <f t="shared" si="24"/>
        <v>#DIV/0!</v>
      </c>
      <c r="F296" s="162" t="e">
        <f t="shared" si="24"/>
        <v>#DIV/0!</v>
      </c>
    </row>
    <row r="297" spans="2:12" ht="15.75" thickBot="1" x14ac:dyDescent="0.3">
      <c r="B297" s="62" t="s">
        <v>25</v>
      </c>
      <c r="C297" s="145" t="s">
        <v>23</v>
      </c>
      <c r="D297" s="162" t="e">
        <f>D294/C294-1</f>
        <v>#DIV/0!</v>
      </c>
      <c r="E297" s="162" t="e">
        <f t="shared" si="24"/>
        <v>#DIV/0!</v>
      </c>
      <c r="F297" s="162" t="e">
        <f t="shared" si="24"/>
        <v>#DIV/0!</v>
      </c>
    </row>
    <row r="298" spans="2:12" ht="15.75" thickBot="1" x14ac:dyDescent="0.3">
      <c r="B298" s="1000" t="s">
        <v>784</v>
      </c>
      <c r="C298" s="1001"/>
      <c r="D298" s="1001"/>
      <c r="E298" s="1001"/>
      <c r="F298" s="1002"/>
    </row>
    <row r="299" spans="2:12" ht="12.75" customHeight="1" x14ac:dyDescent="0.25">
      <c r="B299" s="998"/>
      <c r="C299" s="63">
        <v>2018</v>
      </c>
      <c r="D299" s="63">
        <v>2019</v>
      </c>
      <c r="E299" s="63">
        <v>2020</v>
      </c>
      <c r="F299" s="63">
        <v>2021</v>
      </c>
    </row>
    <row r="300" spans="2:12" ht="18.75" customHeight="1" thickBot="1" x14ac:dyDescent="0.3">
      <c r="B300" s="999"/>
      <c r="C300" s="64" t="s">
        <v>10</v>
      </c>
      <c r="D300" s="64" t="s">
        <v>11</v>
      </c>
      <c r="E300" s="64" t="s">
        <v>11</v>
      </c>
      <c r="F300" s="64" t="s">
        <v>11</v>
      </c>
    </row>
    <row r="301" spans="2:12" ht="15.75" thickBot="1" x14ac:dyDescent="0.3">
      <c r="B301" s="65" t="s">
        <v>58</v>
      </c>
      <c r="C301" s="164"/>
      <c r="D301" s="164"/>
      <c r="E301" s="164"/>
      <c r="F301" s="164"/>
    </row>
    <row r="302" spans="2:12" ht="15.75" thickBot="1" x14ac:dyDescent="0.3">
      <c r="B302" s="65" t="s">
        <v>59</v>
      </c>
      <c r="C302" s="165"/>
      <c r="D302" s="164"/>
      <c r="E302" s="164"/>
      <c r="F302" s="164"/>
    </row>
    <row r="303" spans="2:12" ht="15.75" thickBot="1" x14ac:dyDescent="0.3">
      <c r="B303" s="66" t="s">
        <v>40</v>
      </c>
      <c r="C303" s="165">
        <f>C302+C301</f>
        <v>0</v>
      </c>
      <c r="D303" s="165">
        <f t="shared" ref="D303:F303" si="25">D302+D301</f>
        <v>0</v>
      </c>
      <c r="E303" s="165">
        <f t="shared" si="25"/>
        <v>0</v>
      </c>
      <c r="F303" s="165">
        <f t="shared" si="25"/>
        <v>0</v>
      </c>
    </row>
    <row r="304" spans="2:12" x14ac:dyDescent="0.25">
      <c r="B304" s="1015" t="s">
        <v>60</v>
      </c>
      <c r="C304" s="1036"/>
      <c r="D304" s="1037"/>
      <c r="E304" s="1037"/>
      <c r="F304" s="1038"/>
    </row>
    <row r="305" spans="2:12" x14ac:dyDescent="0.25">
      <c r="B305" s="1016"/>
      <c r="C305" s="1039"/>
      <c r="D305" s="1040"/>
      <c r="E305" s="1040"/>
      <c r="F305" s="1041"/>
    </row>
    <row r="306" spans="2:12" ht="15.75" thickBot="1" x14ac:dyDescent="0.3">
      <c r="B306" s="1017"/>
      <c r="C306" s="1042"/>
      <c r="D306" s="1043"/>
      <c r="E306" s="1043"/>
      <c r="F306" s="1044"/>
    </row>
    <row r="307" spans="2:12" ht="15.75" thickBot="1" x14ac:dyDescent="0.3">
      <c r="B307" s="67" t="s">
        <v>61</v>
      </c>
      <c r="C307" s="1009" t="s">
        <v>130</v>
      </c>
      <c r="D307" s="1010"/>
      <c r="E307" s="1010"/>
      <c r="F307" s="1011"/>
    </row>
    <row r="308" spans="2:12" ht="15.75" thickBot="1" x14ac:dyDescent="0.3">
      <c r="B308" s="160" t="s">
        <v>129</v>
      </c>
      <c r="C308" s="992" t="s">
        <v>106</v>
      </c>
      <c r="D308" s="993"/>
      <c r="E308" s="993"/>
      <c r="F308" s="994"/>
    </row>
    <row r="309" spans="2:12" ht="17.25" customHeight="1" thickBot="1" x14ac:dyDescent="0.3">
      <c r="B309" s="62" t="s">
        <v>17</v>
      </c>
      <c r="C309" s="983" t="s">
        <v>106</v>
      </c>
      <c r="D309" s="984"/>
      <c r="E309" s="984"/>
      <c r="F309" s="985"/>
    </row>
    <row r="310" spans="2:12" ht="15.75" thickBot="1" x14ac:dyDescent="0.3">
      <c r="B310" s="62" t="s">
        <v>18</v>
      </c>
      <c r="C310" s="995" t="s">
        <v>106</v>
      </c>
      <c r="D310" s="996"/>
      <c r="E310" s="996"/>
      <c r="F310" s="997"/>
    </row>
    <row r="311" spans="2:12" ht="12.75" customHeight="1" x14ac:dyDescent="0.25">
      <c r="B311" s="998"/>
      <c r="C311" s="63">
        <v>2018</v>
      </c>
      <c r="D311" s="63">
        <v>2019</v>
      </c>
      <c r="E311" s="63">
        <v>2020</v>
      </c>
      <c r="F311" s="63">
        <v>2021</v>
      </c>
    </row>
    <row r="312" spans="2:12" ht="19.5" customHeight="1" thickBot="1" x14ac:dyDescent="0.3">
      <c r="B312" s="999"/>
      <c r="C312" s="64" t="s">
        <v>10</v>
      </c>
      <c r="D312" s="64" t="s">
        <v>11</v>
      </c>
      <c r="E312" s="64" t="s">
        <v>11</v>
      </c>
      <c r="F312" s="64" t="s">
        <v>11</v>
      </c>
    </row>
    <row r="313" spans="2:12" ht="15.75" thickBot="1" x14ac:dyDescent="0.3">
      <c r="B313" s="62" t="s">
        <v>19</v>
      </c>
      <c r="C313" s="161"/>
      <c r="D313" s="161"/>
      <c r="E313" s="161"/>
      <c r="F313" s="161"/>
    </row>
    <row r="314" spans="2:12" ht="15.75" thickBot="1" x14ac:dyDescent="0.3">
      <c r="B314" s="62" t="s">
        <v>20</v>
      </c>
      <c r="C314" s="161"/>
      <c r="D314" s="161"/>
      <c r="E314" s="161"/>
      <c r="F314" s="161"/>
    </row>
    <row r="315" spans="2:12" ht="15.75" thickBot="1" x14ac:dyDescent="0.3">
      <c r="B315" s="62" t="s">
        <v>21</v>
      </c>
      <c r="C315" s="161" t="e">
        <f>C314/C313</f>
        <v>#DIV/0!</v>
      </c>
      <c r="D315" s="161" t="e">
        <f t="shared" ref="D315:F315" si="26">D314/D313</f>
        <v>#DIV/0!</v>
      </c>
      <c r="E315" s="161" t="e">
        <f t="shared" si="26"/>
        <v>#DIV/0!</v>
      </c>
      <c r="F315" s="161" t="e">
        <f t="shared" si="26"/>
        <v>#DIV/0!</v>
      </c>
    </row>
    <row r="316" spans="2:12" ht="15.75" thickBot="1" x14ac:dyDescent="0.3">
      <c r="B316" s="62" t="s">
        <v>22</v>
      </c>
      <c r="C316" s="145" t="s">
        <v>23</v>
      </c>
      <c r="D316" s="162" t="e">
        <f>D313/C313-1</f>
        <v>#DIV/0!</v>
      </c>
      <c r="E316" s="162" t="e">
        <f t="shared" ref="E316:F318" si="27">E313/D313-1</f>
        <v>#DIV/0!</v>
      </c>
      <c r="F316" s="162" t="e">
        <f t="shared" si="27"/>
        <v>#DIV/0!</v>
      </c>
      <c r="H316" s="163"/>
      <c r="I316" s="163"/>
      <c r="J316" s="163"/>
      <c r="K316" s="163"/>
      <c r="L316" s="163"/>
    </row>
    <row r="317" spans="2:12" ht="15.75" thickBot="1" x14ac:dyDescent="0.3">
      <c r="B317" s="62" t="s">
        <v>24</v>
      </c>
      <c r="C317" s="145" t="s">
        <v>23</v>
      </c>
      <c r="D317" s="162" t="e">
        <f>D314/C314-1</f>
        <v>#DIV/0!</v>
      </c>
      <c r="E317" s="162" t="e">
        <f t="shared" si="27"/>
        <v>#DIV/0!</v>
      </c>
      <c r="F317" s="162" t="e">
        <f t="shared" si="27"/>
        <v>#DIV/0!</v>
      </c>
    </row>
    <row r="318" spans="2:12" ht="15.75" thickBot="1" x14ac:dyDescent="0.3">
      <c r="B318" s="62" t="s">
        <v>25</v>
      </c>
      <c r="C318" s="145" t="s">
        <v>23</v>
      </c>
      <c r="D318" s="162" t="e">
        <f>D315/C315-1</f>
        <v>#DIV/0!</v>
      </c>
      <c r="E318" s="162" t="e">
        <f t="shared" si="27"/>
        <v>#DIV/0!</v>
      </c>
      <c r="F318" s="162" t="e">
        <f t="shared" si="27"/>
        <v>#DIV/0!</v>
      </c>
    </row>
    <row r="319" spans="2:12" ht="15.75" thickBot="1" x14ac:dyDescent="0.3">
      <c r="B319" s="1000" t="s">
        <v>793</v>
      </c>
      <c r="C319" s="1001"/>
      <c r="D319" s="1001"/>
      <c r="E319" s="1001"/>
      <c r="F319" s="1002"/>
    </row>
    <row r="320" spans="2:12" ht="12.75" customHeight="1" x14ac:dyDescent="0.25">
      <c r="B320" s="998"/>
      <c r="C320" s="63">
        <v>2018</v>
      </c>
      <c r="D320" s="63">
        <v>2019</v>
      </c>
      <c r="E320" s="63">
        <v>2020</v>
      </c>
      <c r="F320" s="63">
        <v>2021</v>
      </c>
    </row>
    <row r="321" spans="2:6" ht="24" customHeight="1" thickBot="1" x14ac:dyDescent="0.3">
      <c r="B321" s="999"/>
      <c r="C321" s="64" t="s">
        <v>10</v>
      </c>
      <c r="D321" s="64" t="s">
        <v>11</v>
      </c>
      <c r="E321" s="64" t="s">
        <v>11</v>
      </c>
      <c r="F321" s="64" t="s">
        <v>11</v>
      </c>
    </row>
    <row r="322" spans="2:6" ht="15.75" thickBot="1" x14ac:dyDescent="0.3">
      <c r="B322" s="65" t="s">
        <v>58</v>
      </c>
      <c r="C322" s="164"/>
      <c r="D322" s="164"/>
      <c r="E322" s="164"/>
      <c r="F322" s="164"/>
    </row>
    <row r="323" spans="2:6" ht="15.75" thickBot="1" x14ac:dyDescent="0.3">
      <c r="B323" s="65" t="s">
        <v>59</v>
      </c>
      <c r="C323" s="165"/>
      <c r="D323" s="164"/>
      <c r="E323" s="164"/>
      <c r="F323" s="164"/>
    </row>
    <row r="324" spans="2:6" ht="15.75" thickBot="1" x14ac:dyDescent="0.3">
      <c r="B324" s="66" t="s">
        <v>74</v>
      </c>
      <c r="C324" s="165">
        <f>C323+C322</f>
        <v>0</v>
      </c>
      <c r="D324" s="165">
        <f t="shared" ref="D324:F324" si="28">D323+D322</f>
        <v>0</v>
      </c>
      <c r="E324" s="165">
        <f t="shared" si="28"/>
        <v>0</v>
      </c>
      <c r="F324" s="165">
        <f t="shared" si="28"/>
        <v>0</v>
      </c>
    </row>
    <row r="325" spans="2:6" x14ac:dyDescent="0.25">
      <c r="B325" s="1015" t="s">
        <v>62</v>
      </c>
      <c r="C325" s="1036"/>
      <c r="D325" s="1037"/>
      <c r="E325" s="1037"/>
      <c r="F325" s="1038"/>
    </row>
    <row r="326" spans="2:6" x14ac:dyDescent="0.25">
      <c r="B326" s="1016"/>
      <c r="C326" s="1039"/>
      <c r="D326" s="1040"/>
      <c r="E326" s="1040"/>
      <c r="F326" s="1041"/>
    </row>
    <row r="327" spans="2:6" ht="15.75" thickBot="1" x14ac:dyDescent="0.3">
      <c r="B327" s="1017"/>
      <c r="C327" s="1042"/>
      <c r="D327" s="1043"/>
      <c r="E327" s="1043"/>
      <c r="F327" s="1044"/>
    </row>
    <row r="328" spans="2:6" ht="15.75" thickBot="1" x14ac:dyDescent="0.3">
      <c r="B328" s="989" t="s">
        <v>63</v>
      </c>
      <c r="C328" s="990"/>
      <c r="D328" s="990"/>
      <c r="E328" s="990"/>
      <c r="F328" s="991"/>
    </row>
    <row r="329" spans="2:6" ht="15.75" thickBot="1" x14ac:dyDescent="0.3">
      <c r="B329" s="989" t="s">
        <v>64</v>
      </c>
      <c r="C329" s="990"/>
      <c r="D329" s="990"/>
      <c r="E329" s="990"/>
      <c r="F329" s="991"/>
    </row>
    <row r="330" spans="2:6" ht="15.75" thickBot="1" x14ac:dyDescent="0.3">
      <c r="B330" s="67" t="s">
        <v>61</v>
      </c>
      <c r="C330" s="1009" t="s">
        <v>130</v>
      </c>
      <c r="D330" s="1010"/>
      <c r="E330" s="1010"/>
      <c r="F330" s="1011"/>
    </row>
    <row r="331" spans="2:6" ht="15.75" thickBot="1" x14ac:dyDescent="0.3">
      <c r="B331" s="160" t="s">
        <v>16</v>
      </c>
      <c r="C331" s="992" t="s">
        <v>106</v>
      </c>
      <c r="D331" s="993"/>
      <c r="E331" s="993"/>
      <c r="F331" s="994"/>
    </row>
    <row r="332" spans="2:6" ht="17.25" customHeight="1" thickBot="1" x14ac:dyDescent="0.3">
      <c r="B332" s="62" t="s">
        <v>17</v>
      </c>
      <c r="C332" s="983" t="s">
        <v>106</v>
      </c>
      <c r="D332" s="984"/>
      <c r="E332" s="984"/>
      <c r="F332" s="985"/>
    </row>
    <row r="333" spans="2:6" ht="15.75" thickBot="1" x14ac:dyDescent="0.3">
      <c r="B333" s="62" t="s">
        <v>18</v>
      </c>
      <c r="C333" s="995" t="s">
        <v>106</v>
      </c>
      <c r="D333" s="996"/>
      <c r="E333" s="996"/>
      <c r="F333" s="997"/>
    </row>
    <row r="334" spans="2:6" ht="12.75" customHeight="1" x14ac:dyDescent="0.25">
      <c r="B334" s="998"/>
      <c r="C334" s="63">
        <v>2018</v>
      </c>
      <c r="D334" s="63">
        <v>2019</v>
      </c>
      <c r="E334" s="63">
        <v>2020</v>
      </c>
      <c r="F334" s="63">
        <v>2021</v>
      </c>
    </row>
    <row r="335" spans="2:6" ht="22.5" customHeight="1" thickBot="1" x14ac:dyDescent="0.3">
      <c r="B335" s="999"/>
      <c r="C335" s="64" t="s">
        <v>10</v>
      </c>
      <c r="D335" s="64" t="s">
        <v>11</v>
      </c>
      <c r="E335" s="64" t="s">
        <v>11</v>
      </c>
      <c r="F335" s="64" t="s">
        <v>11</v>
      </c>
    </row>
    <row r="336" spans="2:6" ht="15.75" thickBot="1" x14ac:dyDescent="0.3">
      <c r="B336" s="62" t="s">
        <v>19</v>
      </c>
      <c r="C336" s="161"/>
      <c r="D336" s="161"/>
      <c r="E336" s="161"/>
      <c r="F336" s="161"/>
    </row>
    <row r="337" spans="2:12" ht="15.75" thickBot="1" x14ac:dyDescent="0.3">
      <c r="B337" s="62" t="s">
        <v>20</v>
      </c>
      <c r="C337" s="161"/>
      <c r="D337" s="161"/>
      <c r="E337" s="161"/>
      <c r="F337" s="161"/>
    </row>
    <row r="338" spans="2:12" ht="15.75" thickBot="1" x14ac:dyDescent="0.3">
      <c r="B338" s="62" t="s">
        <v>21</v>
      </c>
      <c r="C338" s="161" t="e">
        <f>C337/C336</f>
        <v>#DIV/0!</v>
      </c>
      <c r="D338" s="161" t="e">
        <f t="shared" ref="D338:F338" si="29">D337/D336</f>
        <v>#DIV/0!</v>
      </c>
      <c r="E338" s="161" t="e">
        <f t="shared" si="29"/>
        <v>#DIV/0!</v>
      </c>
      <c r="F338" s="161" t="e">
        <f t="shared" si="29"/>
        <v>#DIV/0!</v>
      </c>
    </row>
    <row r="339" spans="2:12" ht="15.75" thickBot="1" x14ac:dyDescent="0.3">
      <c r="B339" s="62" t="s">
        <v>22</v>
      </c>
      <c r="C339" s="145" t="s">
        <v>23</v>
      </c>
      <c r="D339" s="162" t="e">
        <f>D336/C336-1</f>
        <v>#DIV/0!</v>
      </c>
      <c r="E339" s="162" t="e">
        <f t="shared" ref="E339:F341" si="30">E336/D336-1</f>
        <v>#DIV/0!</v>
      </c>
      <c r="F339" s="162" t="e">
        <f t="shared" si="30"/>
        <v>#DIV/0!</v>
      </c>
      <c r="H339" s="163"/>
      <c r="I339" s="163"/>
      <c r="J339" s="163"/>
      <c r="K339" s="163"/>
      <c r="L339" s="163"/>
    </row>
    <row r="340" spans="2:12" ht="15.75" thickBot="1" x14ac:dyDescent="0.3">
      <c r="B340" s="62" t="s">
        <v>24</v>
      </c>
      <c r="C340" s="145" t="s">
        <v>23</v>
      </c>
      <c r="D340" s="162" t="e">
        <f>D337/C337-1</f>
        <v>#DIV/0!</v>
      </c>
      <c r="E340" s="162" t="e">
        <f t="shared" si="30"/>
        <v>#DIV/0!</v>
      </c>
      <c r="F340" s="162" t="e">
        <f t="shared" si="30"/>
        <v>#DIV/0!</v>
      </c>
    </row>
    <row r="341" spans="2:12" ht="15.75" thickBot="1" x14ac:dyDescent="0.3">
      <c r="B341" s="62" t="s">
        <v>25</v>
      </c>
      <c r="C341" s="145" t="s">
        <v>23</v>
      </c>
      <c r="D341" s="162" t="e">
        <f>D338/C338-1</f>
        <v>#DIV/0!</v>
      </c>
      <c r="E341" s="162" t="e">
        <f t="shared" si="30"/>
        <v>#DIV/0!</v>
      </c>
      <c r="F341" s="162" t="e">
        <f t="shared" si="30"/>
        <v>#DIV/0!</v>
      </c>
    </row>
    <row r="342" spans="2:12" ht="15.75" thickBot="1" x14ac:dyDescent="0.3">
      <c r="B342" s="1000" t="s">
        <v>784</v>
      </c>
      <c r="C342" s="1001"/>
      <c r="D342" s="1001"/>
      <c r="E342" s="1001"/>
      <c r="F342" s="1002"/>
    </row>
    <row r="343" spans="2:12" ht="12.75" customHeight="1" x14ac:dyDescent="0.25">
      <c r="B343" s="998"/>
      <c r="C343" s="63">
        <v>2018</v>
      </c>
      <c r="D343" s="63">
        <v>2019</v>
      </c>
      <c r="E343" s="63">
        <v>2020</v>
      </c>
      <c r="F343" s="63">
        <v>2021</v>
      </c>
    </row>
    <row r="344" spans="2:12" ht="18.75" customHeight="1" thickBot="1" x14ac:dyDescent="0.3">
      <c r="B344" s="999"/>
      <c r="C344" s="64" t="s">
        <v>10</v>
      </c>
      <c r="D344" s="64" t="s">
        <v>11</v>
      </c>
      <c r="E344" s="64" t="s">
        <v>11</v>
      </c>
      <c r="F344" s="64" t="s">
        <v>11</v>
      </c>
    </row>
    <row r="345" spans="2:12" ht="15.75" thickBot="1" x14ac:dyDescent="0.3">
      <c r="B345" s="65" t="s">
        <v>58</v>
      </c>
      <c r="C345" s="164"/>
      <c r="D345" s="164"/>
      <c r="E345" s="164"/>
      <c r="F345" s="164"/>
    </row>
    <row r="346" spans="2:12" ht="15.75" thickBot="1" x14ac:dyDescent="0.3">
      <c r="B346" s="65" t="s">
        <v>59</v>
      </c>
      <c r="C346" s="165"/>
      <c r="D346" s="164"/>
      <c r="E346" s="164"/>
      <c r="F346" s="164"/>
    </row>
    <row r="347" spans="2:12" ht="15.75" thickBot="1" x14ac:dyDescent="0.3">
      <c r="B347" s="66" t="s">
        <v>40</v>
      </c>
      <c r="C347" s="165">
        <f>C346+C345</f>
        <v>0</v>
      </c>
      <c r="D347" s="165">
        <f t="shared" ref="D347:F347" si="31">D346+D345</f>
        <v>0</v>
      </c>
      <c r="E347" s="165">
        <f t="shared" si="31"/>
        <v>0</v>
      </c>
      <c r="F347" s="165">
        <f t="shared" si="31"/>
        <v>0</v>
      </c>
    </row>
    <row r="348" spans="2:12" x14ac:dyDescent="0.25">
      <c r="B348" s="1015" t="s">
        <v>60</v>
      </c>
      <c r="C348" s="1036"/>
      <c r="D348" s="1037"/>
      <c r="E348" s="1037"/>
      <c r="F348" s="1038"/>
    </row>
    <row r="349" spans="2:12" x14ac:dyDescent="0.25">
      <c r="B349" s="1016"/>
      <c r="C349" s="1039"/>
      <c r="D349" s="1040"/>
      <c r="E349" s="1040"/>
      <c r="F349" s="1041"/>
    </row>
    <row r="350" spans="2:12" ht="15.75" thickBot="1" x14ac:dyDescent="0.3">
      <c r="B350" s="1017"/>
      <c r="C350" s="1042"/>
      <c r="D350" s="1043"/>
      <c r="E350" s="1043"/>
      <c r="F350" s="1044"/>
    </row>
    <row r="351" spans="2:12" ht="15.75" thickBot="1" x14ac:dyDescent="0.3">
      <c r="B351" s="67" t="s">
        <v>61</v>
      </c>
      <c r="C351" s="1009" t="s">
        <v>130</v>
      </c>
      <c r="D351" s="1010"/>
      <c r="E351" s="1010"/>
      <c r="F351" s="1011"/>
    </row>
    <row r="352" spans="2:12" ht="15.75" thickBot="1" x14ac:dyDescent="0.3">
      <c r="B352" s="160" t="s">
        <v>129</v>
      </c>
      <c r="C352" s="992" t="s">
        <v>106</v>
      </c>
      <c r="D352" s="993"/>
      <c r="E352" s="993"/>
      <c r="F352" s="994"/>
    </row>
    <row r="353" spans="2:12" ht="17.25" customHeight="1" thickBot="1" x14ac:dyDescent="0.3">
      <c r="B353" s="62" t="s">
        <v>17</v>
      </c>
      <c r="C353" s="983" t="s">
        <v>106</v>
      </c>
      <c r="D353" s="984"/>
      <c r="E353" s="984"/>
      <c r="F353" s="985"/>
    </row>
    <row r="354" spans="2:12" ht="15.75" thickBot="1" x14ac:dyDescent="0.3">
      <c r="B354" s="62" t="s">
        <v>18</v>
      </c>
      <c r="C354" s="995" t="s">
        <v>106</v>
      </c>
      <c r="D354" s="996"/>
      <c r="E354" s="996"/>
      <c r="F354" s="997"/>
    </row>
    <row r="355" spans="2:12" ht="12.75" customHeight="1" x14ac:dyDescent="0.25">
      <c r="B355" s="998"/>
      <c r="C355" s="63">
        <v>2018</v>
      </c>
      <c r="D355" s="63">
        <v>2019</v>
      </c>
      <c r="E355" s="63">
        <v>2020</v>
      </c>
      <c r="F355" s="63">
        <v>2021</v>
      </c>
    </row>
    <row r="356" spans="2:12" ht="20.25" customHeight="1" thickBot="1" x14ac:dyDescent="0.3">
      <c r="B356" s="999"/>
      <c r="C356" s="64" t="s">
        <v>10</v>
      </c>
      <c r="D356" s="64" t="s">
        <v>11</v>
      </c>
      <c r="E356" s="64" t="s">
        <v>11</v>
      </c>
      <c r="F356" s="64" t="s">
        <v>11</v>
      </c>
    </row>
    <row r="357" spans="2:12" ht="15.75" thickBot="1" x14ac:dyDescent="0.3">
      <c r="B357" s="62" t="s">
        <v>19</v>
      </c>
      <c r="C357" s="161"/>
      <c r="D357" s="161"/>
      <c r="E357" s="161"/>
      <c r="F357" s="161"/>
    </row>
    <row r="358" spans="2:12" ht="15.75" thickBot="1" x14ac:dyDescent="0.3">
      <c r="B358" s="62" t="s">
        <v>20</v>
      </c>
      <c r="C358" s="161"/>
      <c r="D358" s="161"/>
      <c r="E358" s="161"/>
      <c r="F358" s="161"/>
    </row>
    <row r="359" spans="2:12" ht="15.75" thickBot="1" x14ac:dyDescent="0.3">
      <c r="B359" s="62" t="s">
        <v>21</v>
      </c>
      <c r="C359" s="161" t="e">
        <f>C358/C357</f>
        <v>#DIV/0!</v>
      </c>
      <c r="D359" s="161" t="e">
        <f t="shared" ref="D359:F359" si="32">D358/D357</f>
        <v>#DIV/0!</v>
      </c>
      <c r="E359" s="161" t="e">
        <f t="shared" si="32"/>
        <v>#DIV/0!</v>
      </c>
      <c r="F359" s="161" t="e">
        <f t="shared" si="32"/>
        <v>#DIV/0!</v>
      </c>
    </row>
    <row r="360" spans="2:12" ht="15.75" thickBot="1" x14ac:dyDescent="0.3">
      <c r="B360" s="62" t="s">
        <v>22</v>
      </c>
      <c r="C360" s="145" t="s">
        <v>23</v>
      </c>
      <c r="D360" s="162" t="e">
        <f>D357/C357-1</f>
        <v>#DIV/0!</v>
      </c>
      <c r="E360" s="162" t="e">
        <f t="shared" ref="E360:F362" si="33">E357/D357-1</f>
        <v>#DIV/0!</v>
      </c>
      <c r="F360" s="162" t="e">
        <f t="shared" si="33"/>
        <v>#DIV/0!</v>
      </c>
      <c r="H360" s="163"/>
      <c r="I360" s="163"/>
      <c r="J360" s="163"/>
      <c r="K360" s="163"/>
      <c r="L360" s="163"/>
    </row>
    <row r="361" spans="2:12" ht="15.75" thickBot="1" x14ac:dyDescent="0.3">
      <c r="B361" s="62" t="s">
        <v>24</v>
      </c>
      <c r="C361" s="145" t="s">
        <v>23</v>
      </c>
      <c r="D361" s="162" t="e">
        <f>D358/C358-1</f>
        <v>#DIV/0!</v>
      </c>
      <c r="E361" s="162" t="e">
        <f t="shared" si="33"/>
        <v>#DIV/0!</v>
      </c>
      <c r="F361" s="162" t="e">
        <f t="shared" si="33"/>
        <v>#DIV/0!</v>
      </c>
    </row>
    <row r="362" spans="2:12" ht="15.75" thickBot="1" x14ac:dyDescent="0.3">
      <c r="B362" s="62" t="s">
        <v>25</v>
      </c>
      <c r="C362" s="145" t="s">
        <v>23</v>
      </c>
      <c r="D362" s="162" t="e">
        <f>D359/C359-1</f>
        <v>#DIV/0!</v>
      </c>
      <c r="E362" s="162" t="e">
        <f t="shared" si="33"/>
        <v>#DIV/0!</v>
      </c>
      <c r="F362" s="162" t="e">
        <f t="shared" si="33"/>
        <v>#DIV/0!</v>
      </c>
    </row>
    <row r="363" spans="2:12" ht="15.75" thickBot="1" x14ac:dyDescent="0.3">
      <c r="B363" s="1000" t="s">
        <v>793</v>
      </c>
      <c r="C363" s="1001"/>
      <c r="D363" s="1001"/>
      <c r="E363" s="1001"/>
      <c r="F363" s="1002"/>
    </row>
    <row r="364" spans="2:12" ht="12.75" customHeight="1" x14ac:dyDescent="0.25">
      <c r="B364" s="998"/>
      <c r="C364" s="63">
        <v>2018</v>
      </c>
      <c r="D364" s="63">
        <v>2019</v>
      </c>
      <c r="E364" s="63">
        <v>2020</v>
      </c>
      <c r="F364" s="63">
        <v>2021</v>
      </c>
    </row>
    <row r="365" spans="2:12" ht="22.5" customHeight="1" thickBot="1" x14ac:dyDescent="0.3">
      <c r="B365" s="999"/>
      <c r="C365" s="64" t="s">
        <v>10</v>
      </c>
      <c r="D365" s="64" t="s">
        <v>11</v>
      </c>
      <c r="E365" s="64" t="s">
        <v>11</v>
      </c>
      <c r="F365" s="64" t="s">
        <v>11</v>
      </c>
    </row>
    <row r="366" spans="2:12" ht="15.75" thickBot="1" x14ac:dyDescent="0.3">
      <c r="B366" s="65" t="s">
        <v>58</v>
      </c>
      <c r="C366" s="164"/>
      <c r="D366" s="164"/>
      <c r="E366" s="164"/>
      <c r="F366" s="164"/>
    </row>
    <row r="367" spans="2:12" ht="15.75" thickBot="1" x14ac:dyDescent="0.3">
      <c r="B367" s="65" t="s">
        <v>59</v>
      </c>
      <c r="C367" s="165"/>
      <c r="D367" s="164"/>
      <c r="E367" s="164"/>
      <c r="F367" s="164"/>
    </row>
    <row r="368" spans="2:12" ht="15.75" thickBot="1" x14ac:dyDescent="0.3">
      <c r="B368" s="66" t="s">
        <v>74</v>
      </c>
      <c r="C368" s="165">
        <f>C367+C366</f>
        <v>0</v>
      </c>
      <c r="D368" s="165">
        <f t="shared" ref="D368:F368" si="34">D367+D366</f>
        <v>0</v>
      </c>
      <c r="E368" s="165">
        <f t="shared" si="34"/>
        <v>0</v>
      </c>
      <c r="F368" s="165">
        <f t="shared" si="34"/>
        <v>0</v>
      </c>
    </row>
    <row r="369" spans="2:6" x14ac:dyDescent="0.25">
      <c r="B369" s="1015" t="s">
        <v>62</v>
      </c>
      <c r="C369" s="1036"/>
      <c r="D369" s="1037"/>
      <c r="E369" s="1037"/>
      <c r="F369" s="1038"/>
    </row>
    <row r="370" spans="2:6" x14ac:dyDescent="0.25">
      <c r="B370" s="1016"/>
      <c r="C370" s="1039"/>
      <c r="D370" s="1040"/>
      <c r="E370" s="1040"/>
      <c r="F370" s="1041"/>
    </row>
    <row r="371" spans="2:6" ht="15.75" thickBot="1" x14ac:dyDescent="0.3">
      <c r="B371" s="1017"/>
      <c r="C371" s="1042"/>
      <c r="D371" s="1043"/>
      <c r="E371" s="1043"/>
      <c r="F371" s="1044"/>
    </row>
    <row r="372" spans="2:6" ht="15.75" thickBot="1" x14ac:dyDescent="0.3">
      <c r="B372" s="226"/>
      <c r="C372" s="227"/>
      <c r="D372" s="227"/>
      <c r="E372" s="227"/>
      <c r="F372" s="227"/>
    </row>
    <row r="373" spans="2:6" ht="27" customHeight="1" thickBot="1" x14ac:dyDescent="0.3">
      <c r="B373" s="158" t="s">
        <v>82</v>
      </c>
      <c r="C373" s="177">
        <f>C358+C337+C314+C293+C250+C208+C179+C158+C135+C114+C71+C30</f>
        <v>93000</v>
      </c>
      <c r="D373" s="177">
        <f>D358+D337+D314+D293+D250+D208+D179+D158+D135+D114+D71+D30</f>
        <v>93000</v>
      </c>
      <c r="E373" s="177">
        <f>E358+E337+E314+E293+E250+E208+E179+E158+E135+E114+E71+E30</f>
        <v>93000</v>
      </c>
      <c r="F373" s="177">
        <f>F358+F337+F314+F293+F250+F208+F179+F158+F135+F114+F71+F30</f>
        <v>94000</v>
      </c>
    </row>
    <row r="374" spans="2:6" ht="30.75" thickBot="1" x14ac:dyDescent="0.3">
      <c r="B374" s="158" t="s">
        <v>83</v>
      </c>
      <c r="C374" s="177">
        <f>C376+C378+C380+C382+C384+C386+C388+C390+C392</f>
        <v>93000</v>
      </c>
      <c r="D374" s="177">
        <f>D376+D378+D380+D382+D384+D386+D388+D390+D392</f>
        <v>93000</v>
      </c>
      <c r="E374" s="177">
        <f>E376+E378+E380+E382+E384+E386+E388+E390+E392</f>
        <v>93000</v>
      </c>
      <c r="F374" s="177">
        <f>F376+F378+F380+F382+F384+F386+F388+F390+F392</f>
        <v>94000</v>
      </c>
    </row>
    <row r="375" spans="2:6" ht="30.75" thickBot="1" x14ac:dyDescent="0.3">
      <c r="B375" s="178" t="s">
        <v>84</v>
      </c>
      <c r="C375" s="179"/>
      <c r="D375" s="180">
        <f>D374/C374-1</f>
        <v>0</v>
      </c>
      <c r="E375" s="180">
        <f t="shared" ref="E375:F375" si="35">E374/D374-1</f>
        <v>0</v>
      </c>
      <c r="F375" s="180">
        <f t="shared" si="35"/>
        <v>1.0752688172043001E-2</v>
      </c>
    </row>
    <row r="376" spans="2:6" ht="15.75" thickBot="1" x14ac:dyDescent="0.3">
      <c r="B376" s="65" t="s">
        <v>26</v>
      </c>
      <c r="C376" s="164">
        <f>C258+C218+C79+C38</f>
        <v>53500</v>
      </c>
      <c r="D376" s="164">
        <f>D258+D218+D79+D38</f>
        <v>53500</v>
      </c>
      <c r="E376" s="164">
        <f>E258+E218+E79+E38</f>
        <v>53500</v>
      </c>
      <c r="F376" s="164">
        <f>F258+F218+F79+F38</f>
        <v>53500</v>
      </c>
    </row>
    <row r="377" spans="2:6" ht="15.75" thickBot="1" x14ac:dyDescent="0.3">
      <c r="B377" s="181" t="s">
        <v>85</v>
      </c>
      <c r="C377" s="165"/>
      <c r="D377" s="182">
        <f>D376/C376-1</f>
        <v>0</v>
      </c>
      <c r="E377" s="182">
        <f t="shared" ref="E377:F377" si="36">E376/D376-1</f>
        <v>0</v>
      </c>
      <c r="F377" s="182">
        <f t="shared" si="36"/>
        <v>0</v>
      </c>
    </row>
    <row r="378" spans="2:6" ht="15.75" thickBot="1" x14ac:dyDescent="0.3">
      <c r="B378" s="65" t="s">
        <v>28</v>
      </c>
      <c r="C378" s="164">
        <f>C261+C221+C82+C41</f>
        <v>10500</v>
      </c>
      <c r="D378" s="164">
        <f>D261+D221+D82+D41</f>
        <v>10500</v>
      </c>
      <c r="E378" s="164">
        <f>E261+E221+E82+E41</f>
        <v>10500</v>
      </c>
      <c r="F378" s="164">
        <f>F261+F221+F82+F41</f>
        <v>10500</v>
      </c>
    </row>
    <row r="379" spans="2:6" ht="30.75" thickBot="1" x14ac:dyDescent="0.3">
      <c r="B379" s="181" t="s">
        <v>86</v>
      </c>
      <c r="C379" s="165"/>
      <c r="D379" s="182">
        <f>D378/C378-1</f>
        <v>0</v>
      </c>
      <c r="E379" s="182">
        <f t="shared" ref="E379:F379" si="37">E378/D378-1</f>
        <v>0</v>
      </c>
      <c r="F379" s="182">
        <f t="shared" si="37"/>
        <v>0</v>
      </c>
    </row>
    <row r="380" spans="2:6" ht="15.75" thickBot="1" x14ac:dyDescent="0.3">
      <c r="B380" s="65" t="s">
        <v>30</v>
      </c>
      <c r="C380" s="164">
        <f>C264+C224+C85+C44</f>
        <v>26580</v>
      </c>
      <c r="D380" s="164">
        <f>D264+D224+D85+D44</f>
        <v>26580</v>
      </c>
      <c r="E380" s="164">
        <f>E264+E224+E85+E44</f>
        <v>26580</v>
      </c>
      <c r="F380" s="164">
        <f>F264+F224+F85+F44</f>
        <v>27580</v>
      </c>
    </row>
    <row r="381" spans="2:6" ht="15.75" thickBot="1" x14ac:dyDescent="0.3">
      <c r="B381" s="181" t="s">
        <v>87</v>
      </c>
      <c r="C381" s="165"/>
      <c r="D381" s="182">
        <f>D380/C380-1</f>
        <v>0</v>
      </c>
      <c r="E381" s="182">
        <f t="shared" ref="E381:F381" si="38">E380/D380-1</f>
        <v>0</v>
      </c>
      <c r="F381" s="182">
        <f t="shared" si="38"/>
        <v>3.7622272385252176E-2</v>
      </c>
    </row>
    <row r="382" spans="2:6" ht="15.75" thickBot="1" x14ac:dyDescent="0.3">
      <c r="B382" s="65" t="s">
        <v>32</v>
      </c>
      <c r="C382" s="164">
        <f>C267+C227+C88+C47</f>
        <v>0</v>
      </c>
      <c r="D382" s="164">
        <f>D267+D227+D88+D47</f>
        <v>0</v>
      </c>
      <c r="E382" s="164">
        <f>E267+E227+E88+E47</f>
        <v>0</v>
      </c>
      <c r="F382" s="164">
        <f>F267+F227+F88+F47</f>
        <v>0</v>
      </c>
    </row>
    <row r="383" spans="2:6" ht="15.75" thickBot="1" x14ac:dyDescent="0.3">
      <c r="B383" s="181" t="s">
        <v>88</v>
      </c>
      <c r="C383" s="165"/>
      <c r="D383" s="182" t="e">
        <f>D382/C382-1</f>
        <v>#DIV/0!</v>
      </c>
      <c r="E383" s="182" t="e">
        <f t="shared" ref="E383:F383" si="39">E382/D382-1</f>
        <v>#DIV/0!</v>
      </c>
      <c r="F383" s="182" t="e">
        <f t="shared" si="39"/>
        <v>#DIV/0!</v>
      </c>
    </row>
    <row r="384" spans="2:6" ht="15.75" thickBot="1" x14ac:dyDescent="0.3">
      <c r="B384" s="65" t="s">
        <v>34</v>
      </c>
      <c r="C384" s="164">
        <f>C270+C230+C91+C50</f>
        <v>0</v>
      </c>
      <c r="D384" s="164">
        <f>D270+D230+D91+D50</f>
        <v>0</v>
      </c>
      <c r="E384" s="164">
        <f>E270+E230+E91+E50</f>
        <v>0</v>
      </c>
      <c r="F384" s="164">
        <f>F270+F230+F91+F50</f>
        <v>0</v>
      </c>
    </row>
    <row r="385" spans="2:6" ht="15.75" thickBot="1" x14ac:dyDescent="0.3">
      <c r="B385" s="181" t="s">
        <v>89</v>
      </c>
      <c r="C385" s="165"/>
      <c r="D385" s="182" t="e">
        <f>D384/C384-1</f>
        <v>#DIV/0!</v>
      </c>
      <c r="E385" s="182" t="e">
        <f t="shared" ref="E385:F385" si="40">E384/D384-1</f>
        <v>#DIV/0!</v>
      </c>
      <c r="F385" s="182" t="e">
        <f t="shared" si="40"/>
        <v>#DIV/0!</v>
      </c>
    </row>
    <row r="386" spans="2:6" ht="15.75" thickBot="1" x14ac:dyDescent="0.3">
      <c r="B386" s="65" t="s">
        <v>36</v>
      </c>
      <c r="C386" s="164">
        <f>C273+C233+C94+C53</f>
        <v>0</v>
      </c>
      <c r="D386" s="164">
        <f>D273+D233+D94+D53</f>
        <v>0</v>
      </c>
      <c r="E386" s="164">
        <f>E273+E233+E94+E53</f>
        <v>0</v>
      </c>
      <c r="F386" s="164">
        <f>F273+F233+F94+F53</f>
        <v>0</v>
      </c>
    </row>
    <row r="387" spans="2:6" ht="15.75" thickBot="1" x14ac:dyDescent="0.3">
      <c r="B387" s="181" t="s">
        <v>90</v>
      </c>
      <c r="C387" s="165"/>
      <c r="D387" s="182" t="e">
        <f>D386/C386-1</f>
        <v>#DIV/0!</v>
      </c>
      <c r="E387" s="182" t="e">
        <f t="shared" ref="E387:F387" si="41">E386/D386-1</f>
        <v>#DIV/0!</v>
      </c>
      <c r="F387" s="182" t="e">
        <f t="shared" si="41"/>
        <v>#DIV/0!</v>
      </c>
    </row>
    <row r="388" spans="2:6" ht="15.75" thickBot="1" x14ac:dyDescent="0.3">
      <c r="B388" s="65" t="s">
        <v>38</v>
      </c>
      <c r="C388" s="164">
        <f>C276+C236+C97+C56</f>
        <v>420</v>
      </c>
      <c r="D388" s="164">
        <f>D276+D236+D97+D56</f>
        <v>420</v>
      </c>
      <c r="E388" s="164">
        <f>E276+E236+E97+E56</f>
        <v>420</v>
      </c>
      <c r="F388" s="164">
        <f>F276+F236+F97+F56</f>
        <v>420</v>
      </c>
    </row>
    <row r="389" spans="2:6" ht="30.75" thickBot="1" x14ac:dyDescent="0.3">
      <c r="B389" s="181" t="s">
        <v>91</v>
      </c>
      <c r="C389" s="165"/>
      <c r="D389" s="182">
        <f>D388/C388-1</f>
        <v>0</v>
      </c>
      <c r="E389" s="182">
        <f t="shared" ref="E389:F389" si="42">E388/D388-1</f>
        <v>0</v>
      </c>
      <c r="F389" s="182">
        <f t="shared" si="42"/>
        <v>0</v>
      </c>
    </row>
    <row r="390" spans="2:6" ht="15.75" thickBot="1" x14ac:dyDescent="0.3">
      <c r="B390" s="65" t="s">
        <v>92</v>
      </c>
      <c r="C390" s="164">
        <f>C122+C143+C166+C187+C301+C322+C345+C366</f>
        <v>0</v>
      </c>
      <c r="D390" s="164">
        <f t="shared" ref="D390:F390" si="43">D122+D143+D166+D187+D301+D322+D345+D366</f>
        <v>0</v>
      </c>
      <c r="E390" s="164">
        <f t="shared" si="43"/>
        <v>0</v>
      </c>
      <c r="F390" s="164">
        <f t="shared" si="43"/>
        <v>0</v>
      </c>
    </row>
    <row r="391" spans="2:6" ht="15.75" thickBot="1" x14ac:dyDescent="0.3">
      <c r="B391" s="181" t="s">
        <v>93</v>
      </c>
      <c r="C391" s="165"/>
      <c r="D391" s="182" t="e">
        <f>D390/C390-1</f>
        <v>#DIV/0!</v>
      </c>
      <c r="E391" s="182" t="e">
        <f t="shared" ref="E391:F391" si="44">E390/D390-1</f>
        <v>#DIV/0!</v>
      </c>
      <c r="F391" s="182" t="e">
        <f t="shared" si="44"/>
        <v>#DIV/0!</v>
      </c>
    </row>
    <row r="392" spans="2:6" ht="15.75" thickBot="1" x14ac:dyDescent="0.3">
      <c r="B392" s="65" t="s">
        <v>94</v>
      </c>
      <c r="C392" s="164">
        <f>C123+C144+C167+C188+C302+C323+C346+C367</f>
        <v>2000</v>
      </c>
      <c r="D392" s="164">
        <f t="shared" ref="D392:F392" si="45">D123+D144+D167+D188+D302+D323+D346+D367</f>
        <v>2000</v>
      </c>
      <c r="E392" s="164">
        <f t="shared" si="45"/>
        <v>2000</v>
      </c>
      <c r="F392" s="164">
        <f t="shared" si="45"/>
        <v>2000</v>
      </c>
    </row>
    <row r="393" spans="2:6" ht="15.75" thickBot="1" x14ac:dyDescent="0.3">
      <c r="B393" s="181" t="s">
        <v>95</v>
      </c>
      <c r="C393" s="165"/>
      <c r="D393" s="182">
        <f>D392/C392-1</f>
        <v>0</v>
      </c>
      <c r="E393" s="182">
        <f t="shared" ref="E393:F393" si="46">E392/D392-1</f>
        <v>0</v>
      </c>
      <c r="F393" s="182">
        <f t="shared" si="46"/>
        <v>0</v>
      </c>
    </row>
    <row r="394" spans="2:6" x14ac:dyDescent="0.25">
      <c r="B394" s="1220" t="s">
        <v>790</v>
      </c>
      <c r="C394" s="1223"/>
      <c r="D394" s="1223"/>
      <c r="E394" s="1223"/>
      <c r="F394" s="1224"/>
    </row>
    <row r="395" spans="2:6" x14ac:dyDescent="0.25">
      <c r="B395" s="1221"/>
      <c r="C395" s="1225"/>
      <c r="D395" s="1225"/>
      <c r="E395" s="1225"/>
      <c r="F395" s="1226"/>
    </row>
    <row r="396" spans="2:6" ht="15.75" thickBot="1" x14ac:dyDescent="0.3">
      <c r="B396" s="1222"/>
      <c r="C396" s="1227"/>
      <c r="D396" s="1227"/>
      <c r="E396" s="1227"/>
      <c r="F396" s="1228"/>
    </row>
    <row r="397" spans="2:6" ht="15.75" thickBot="1" x14ac:dyDescent="0.3">
      <c r="B397" s="166" t="s">
        <v>41</v>
      </c>
      <c r="C397" s="167">
        <f>IF(C374-C373=0,0,"Error")</f>
        <v>0</v>
      </c>
      <c r="D397" s="167">
        <f t="shared" ref="D397:F397" si="47">IF(D374-D373=0,0,"Error")</f>
        <v>0</v>
      </c>
      <c r="E397" s="167">
        <f t="shared" si="47"/>
        <v>0</v>
      </c>
      <c r="F397" s="167">
        <f t="shared" si="47"/>
        <v>0</v>
      </c>
    </row>
    <row r="398" spans="2:6" ht="30.75" thickBot="1" x14ac:dyDescent="0.3">
      <c r="B398" s="183" t="s">
        <v>96</v>
      </c>
      <c r="C398" s="164" t="s">
        <v>23</v>
      </c>
      <c r="D398" s="164" t="s">
        <v>23</v>
      </c>
      <c r="E398" s="164" t="s">
        <v>23</v>
      </c>
      <c r="F398" s="164" t="s">
        <v>23</v>
      </c>
    </row>
    <row r="399" spans="2:6" ht="30.75" thickBot="1" x14ac:dyDescent="0.3">
      <c r="B399" s="183" t="s">
        <v>97</v>
      </c>
      <c r="C399" s="164" t="s">
        <v>23</v>
      </c>
      <c r="D399" s="164" t="s">
        <v>23</v>
      </c>
      <c r="E399" s="164" t="s">
        <v>23</v>
      </c>
      <c r="F399" s="164" t="s">
        <v>23</v>
      </c>
    </row>
    <row r="400" spans="2:6" x14ac:dyDescent="0.25">
      <c r="B400" s="184"/>
      <c r="C400" s="185"/>
      <c r="D400" s="185"/>
      <c r="E400" s="185"/>
      <c r="F400" s="185"/>
    </row>
  </sheetData>
  <mergeCells count="132">
    <mergeCell ref="B8:F10"/>
    <mergeCell ref="C11:F11"/>
    <mergeCell ref="B12:B13"/>
    <mergeCell ref="C17:F17"/>
    <mergeCell ref="B18:F18"/>
    <mergeCell ref="B22:F22"/>
    <mergeCell ref="A2:F2"/>
    <mergeCell ref="C4:F4"/>
    <mergeCell ref="C5:F5"/>
    <mergeCell ref="C6:F6"/>
    <mergeCell ref="B7:F7"/>
    <mergeCell ref="B36:B37"/>
    <mergeCell ref="B61:B63"/>
    <mergeCell ref="C65:F65"/>
    <mergeCell ref="C66:F66"/>
    <mergeCell ref="B23:F23"/>
    <mergeCell ref="C24:F24"/>
    <mergeCell ref="C25:F25"/>
    <mergeCell ref="C26:F26"/>
    <mergeCell ref="B27:B28"/>
    <mergeCell ref="B35:F35"/>
    <mergeCell ref="C61:F63"/>
    <mergeCell ref="B105:F105"/>
    <mergeCell ref="B106:F106"/>
    <mergeCell ref="C107:F107"/>
    <mergeCell ref="C108:F108"/>
    <mergeCell ref="C109:F109"/>
    <mergeCell ref="C110:F110"/>
    <mergeCell ref="C67:F67"/>
    <mergeCell ref="B69:B70"/>
    <mergeCell ref="B76:F76"/>
    <mergeCell ref="B77:B78"/>
    <mergeCell ref="B101:B103"/>
    <mergeCell ref="C101:F103"/>
    <mergeCell ref="C129:F129"/>
    <mergeCell ref="C130:F130"/>
    <mergeCell ref="C131:F131"/>
    <mergeCell ref="B132:B133"/>
    <mergeCell ref="B140:F140"/>
    <mergeCell ref="B141:B142"/>
    <mergeCell ref="B111:B112"/>
    <mergeCell ref="B119:F119"/>
    <mergeCell ref="B120:B121"/>
    <mergeCell ref="B125:B127"/>
    <mergeCell ref="C125:F127"/>
    <mergeCell ref="C128:F128"/>
    <mergeCell ref="C153:F153"/>
    <mergeCell ref="C154:F154"/>
    <mergeCell ref="B155:B156"/>
    <mergeCell ref="B163:F163"/>
    <mergeCell ref="B164:B165"/>
    <mergeCell ref="B169:B171"/>
    <mergeCell ref="C169:F171"/>
    <mergeCell ref="B146:B148"/>
    <mergeCell ref="C146:F148"/>
    <mergeCell ref="B149:F149"/>
    <mergeCell ref="B150:F150"/>
    <mergeCell ref="C151:F151"/>
    <mergeCell ref="C152:F152"/>
    <mergeCell ref="B185:B186"/>
    <mergeCell ref="B190:B192"/>
    <mergeCell ref="C190:F192"/>
    <mergeCell ref="C193:F193"/>
    <mergeCell ref="B194:F194"/>
    <mergeCell ref="B198:F198"/>
    <mergeCell ref="C172:F172"/>
    <mergeCell ref="C173:F173"/>
    <mergeCell ref="C174:F174"/>
    <mergeCell ref="C175:F175"/>
    <mergeCell ref="B176:B177"/>
    <mergeCell ref="B184:F184"/>
    <mergeCell ref="B213:B214"/>
    <mergeCell ref="B215:F215"/>
    <mergeCell ref="B216:B217"/>
    <mergeCell ref="B240:B242"/>
    <mergeCell ref="C240:F242"/>
    <mergeCell ref="C244:F244"/>
    <mergeCell ref="B199:F199"/>
    <mergeCell ref="B200:B201"/>
    <mergeCell ref="C202:F202"/>
    <mergeCell ref="C203:F203"/>
    <mergeCell ref="C204:F204"/>
    <mergeCell ref="B205:B206"/>
    <mergeCell ref="B284:F284"/>
    <mergeCell ref="B285:F285"/>
    <mergeCell ref="C286:F286"/>
    <mergeCell ref="C287:F287"/>
    <mergeCell ref="C288:F288"/>
    <mergeCell ref="C289:F289"/>
    <mergeCell ref="C245:F245"/>
    <mergeCell ref="C246:F246"/>
    <mergeCell ref="B247:B248"/>
    <mergeCell ref="B255:F255"/>
    <mergeCell ref="B256:B257"/>
    <mergeCell ref="B280:B282"/>
    <mergeCell ref="C280:F282"/>
    <mergeCell ref="C308:F308"/>
    <mergeCell ref="C309:F309"/>
    <mergeCell ref="C310:F310"/>
    <mergeCell ref="B311:B312"/>
    <mergeCell ref="B319:F319"/>
    <mergeCell ref="B320:B321"/>
    <mergeCell ref="B290:B291"/>
    <mergeCell ref="B298:F298"/>
    <mergeCell ref="B299:B300"/>
    <mergeCell ref="B304:B306"/>
    <mergeCell ref="C304:F306"/>
    <mergeCell ref="C307:F307"/>
    <mergeCell ref="B364:B365"/>
    <mergeCell ref="B369:B371"/>
    <mergeCell ref="C369:F371"/>
    <mergeCell ref="B394:B396"/>
    <mergeCell ref="C394:F396"/>
    <mergeCell ref="C351:F351"/>
    <mergeCell ref="C352:F352"/>
    <mergeCell ref="C353:F353"/>
    <mergeCell ref="C354:F354"/>
    <mergeCell ref="B355:B356"/>
    <mergeCell ref="B363:F363"/>
    <mergeCell ref="C332:F332"/>
    <mergeCell ref="C333:F333"/>
    <mergeCell ref="B334:B335"/>
    <mergeCell ref="B342:F342"/>
    <mergeCell ref="B343:B344"/>
    <mergeCell ref="B348:B350"/>
    <mergeCell ref="C348:F350"/>
    <mergeCell ref="B325:B327"/>
    <mergeCell ref="C325:F327"/>
    <mergeCell ref="B328:F328"/>
    <mergeCell ref="B329:F329"/>
    <mergeCell ref="C330:F330"/>
    <mergeCell ref="C331:F331"/>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L307"/>
  <sheetViews>
    <sheetView topLeftCell="A89" zoomScale="120" zoomScaleNormal="120" workbookViewId="0">
      <selection activeCell="B2" sqref="B2"/>
    </sheetView>
  </sheetViews>
  <sheetFormatPr defaultRowHeight="15" x14ac:dyDescent="0.25"/>
  <cols>
    <col min="1" max="1" width="11" style="152" customWidth="1"/>
    <col min="2" max="2" width="32.7109375" style="152" customWidth="1"/>
    <col min="3" max="3" width="16.5703125" style="152" customWidth="1"/>
    <col min="4" max="4" width="21.5703125" style="152" customWidth="1"/>
    <col min="5" max="5" width="16.42578125" style="152" customWidth="1"/>
    <col min="6" max="6" width="22.140625" style="152" customWidth="1"/>
    <col min="7" max="7" width="10.140625" style="152" customWidth="1"/>
    <col min="8" max="8" width="21" style="152" customWidth="1"/>
    <col min="9" max="9" width="11" style="152" customWidth="1"/>
    <col min="10" max="10" width="14.7109375" style="152" customWidth="1"/>
    <col min="11" max="11" width="9.140625" style="152"/>
    <col min="12" max="12" width="14.42578125" style="152" customWidth="1"/>
    <col min="13" max="16384" width="9.140625" style="152"/>
  </cols>
  <sheetData>
    <row r="2" spans="2:7" ht="18" customHeight="1" x14ac:dyDescent="0.25">
      <c r="B2" s="1" t="s">
        <v>0</v>
      </c>
      <c r="C2" s="1"/>
      <c r="D2" s="1"/>
      <c r="E2" s="1"/>
      <c r="F2" s="1"/>
      <c r="G2" s="1"/>
    </row>
    <row r="3" spans="2:7" ht="15.75" thickBot="1" x14ac:dyDescent="0.3"/>
    <row r="4" spans="2:7" ht="15.75" thickBot="1" x14ac:dyDescent="0.3">
      <c r="B4" s="153" t="s">
        <v>2</v>
      </c>
      <c r="C4" s="1321" t="s">
        <v>850</v>
      </c>
      <c r="D4" s="979"/>
      <c r="E4" s="979"/>
      <c r="F4" s="979"/>
    </row>
    <row r="5" spans="2:7" ht="15.75" thickBot="1" x14ac:dyDescent="0.3">
      <c r="B5" s="153" t="s">
        <v>3</v>
      </c>
      <c r="C5" s="980" t="s">
        <v>851</v>
      </c>
      <c r="D5" s="981"/>
      <c r="E5" s="981"/>
      <c r="F5" s="982"/>
    </row>
    <row r="6" spans="2:7" ht="15.75" thickBot="1" x14ac:dyDescent="0.3">
      <c r="B6" s="153" t="s">
        <v>5</v>
      </c>
      <c r="C6" s="983" t="s">
        <v>6</v>
      </c>
      <c r="D6" s="984"/>
      <c r="E6" s="984"/>
      <c r="F6" s="985"/>
    </row>
    <row r="7" spans="2:7" ht="15.75" thickBot="1" x14ac:dyDescent="0.3">
      <c r="B7" s="986" t="s">
        <v>7</v>
      </c>
      <c r="C7" s="987"/>
      <c r="D7" s="987"/>
      <c r="E7" s="987"/>
      <c r="F7" s="988"/>
    </row>
    <row r="8" spans="2:7" ht="15.75" customHeight="1" thickBot="1" x14ac:dyDescent="0.3">
      <c r="B8" s="983" t="s">
        <v>852</v>
      </c>
      <c r="C8" s="984"/>
      <c r="D8" s="984"/>
      <c r="E8" s="984"/>
      <c r="F8" s="985"/>
    </row>
    <row r="9" spans="2:7" ht="36.75" customHeight="1" thickBot="1" x14ac:dyDescent="0.3">
      <c r="B9" s="983"/>
      <c r="C9" s="984"/>
      <c r="D9" s="984"/>
      <c r="E9" s="984"/>
      <c r="F9" s="985"/>
    </row>
    <row r="10" spans="2:7" ht="24.75" customHeight="1" thickBot="1" x14ac:dyDescent="0.3">
      <c r="B10" s="983"/>
      <c r="C10" s="984"/>
      <c r="D10" s="984"/>
      <c r="E10" s="984"/>
      <c r="F10" s="985"/>
    </row>
    <row r="11" spans="2:7" ht="52.5" customHeight="1" thickBot="1" x14ac:dyDescent="0.3">
      <c r="B11" s="154" t="s">
        <v>8</v>
      </c>
      <c r="C11" s="1006" t="s">
        <v>853</v>
      </c>
      <c r="D11" s="993"/>
      <c r="E11" s="993"/>
      <c r="F11" s="994"/>
    </row>
    <row r="12" spans="2:7" ht="23.25" customHeight="1" x14ac:dyDescent="0.25">
      <c r="B12" s="998" t="s">
        <v>102</v>
      </c>
      <c r="C12" s="171">
        <v>2018</v>
      </c>
      <c r="D12" s="171">
        <v>2019</v>
      </c>
      <c r="E12" s="171">
        <v>2020</v>
      </c>
      <c r="F12" s="171">
        <v>2021</v>
      </c>
    </row>
    <row r="13" spans="2:7" ht="15.75" thickBot="1" x14ac:dyDescent="0.3">
      <c r="B13" s="999"/>
      <c r="C13" s="172" t="s">
        <v>10</v>
      </c>
      <c r="D13" s="172" t="s">
        <v>11</v>
      </c>
      <c r="E13" s="172" t="s">
        <v>11</v>
      </c>
      <c r="F13" s="172" t="s">
        <v>11</v>
      </c>
    </row>
    <row r="14" spans="2:7" ht="15.75" thickBot="1" x14ac:dyDescent="0.3">
      <c r="B14" s="151" t="s">
        <v>211</v>
      </c>
      <c r="C14" s="157" t="s">
        <v>116</v>
      </c>
      <c r="D14" s="157" t="s">
        <v>117</v>
      </c>
      <c r="E14" s="157" t="s">
        <v>117</v>
      </c>
      <c r="F14" s="157" t="s">
        <v>117</v>
      </c>
    </row>
    <row r="15" spans="2:7" ht="15.75" thickBot="1" x14ac:dyDescent="0.3">
      <c r="B15" s="62" t="s">
        <v>212</v>
      </c>
      <c r="C15" s="157" t="s">
        <v>116</v>
      </c>
      <c r="D15" s="157" t="s">
        <v>117</v>
      </c>
      <c r="E15" s="157" t="s">
        <v>117</v>
      </c>
      <c r="F15" s="157" t="s">
        <v>117</v>
      </c>
    </row>
    <row r="16" spans="2:7" ht="30.75" thickBot="1" x14ac:dyDescent="0.3">
      <c r="B16" s="62" t="s">
        <v>115</v>
      </c>
      <c r="C16" s="157" t="s">
        <v>116</v>
      </c>
      <c r="D16" s="157" t="s">
        <v>117</v>
      </c>
      <c r="E16" s="157" t="s">
        <v>117</v>
      </c>
      <c r="F16" s="157" t="s">
        <v>117</v>
      </c>
    </row>
    <row r="17" spans="2:12" ht="30.75" thickBot="1" x14ac:dyDescent="0.3">
      <c r="B17" s="158" t="s">
        <v>12</v>
      </c>
      <c r="C17" s="1007" t="s">
        <v>854</v>
      </c>
      <c r="D17" s="1006"/>
      <c r="E17" s="1006"/>
      <c r="F17" s="1008"/>
    </row>
    <row r="18" spans="2:12" ht="23.25" customHeight="1" thickBot="1" x14ac:dyDescent="0.3">
      <c r="B18" s="983" t="s">
        <v>855</v>
      </c>
      <c r="C18" s="984"/>
      <c r="D18" s="984"/>
      <c r="E18" s="984"/>
      <c r="F18" s="985"/>
      <c r="I18" s="159"/>
      <c r="K18" s="159"/>
    </row>
    <row r="19" spans="2:12" ht="30.75" thickBot="1" x14ac:dyDescent="0.3">
      <c r="B19" s="151" t="s">
        <v>855</v>
      </c>
      <c r="C19" s="157">
        <v>1</v>
      </c>
      <c r="D19" s="157">
        <v>1</v>
      </c>
      <c r="E19" s="157">
        <v>1</v>
      </c>
      <c r="F19" s="157">
        <v>1</v>
      </c>
    </row>
    <row r="20" spans="2:12" ht="15.75" thickBot="1" x14ac:dyDescent="0.3">
      <c r="B20" s="62" t="s">
        <v>212</v>
      </c>
      <c r="C20" s="157" t="s">
        <v>116</v>
      </c>
      <c r="D20" s="157" t="s">
        <v>117</v>
      </c>
      <c r="E20" s="157" t="s">
        <v>117</v>
      </c>
      <c r="F20" s="157" t="s">
        <v>117</v>
      </c>
    </row>
    <row r="21" spans="2:12" ht="30.75" thickBot="1" x14ac:dyDescent="0.3">
      <c r="B21" s="62" t="s">
        <v>115</v>
      </c>
      <c r="C21" s="157" t="s">
        <v>116</v>
      </c>
      <c r="D21" s="157" t="s">
        <v>117</v>
      </c>
      <c r="E21" s="157" t="s">
        <v>117</v>
      </c>
      <c r="F21" s="157" t="s">
        <v>117</v>
      </c>
    </row>
    <row r="22" spans="2:12" ht="15.75" thickBot="1" x14ac:dyDescent="0.3">
      <c r="B22" s="989" t="s">
        <v>856</v>
      </c>
      <c r="C22" s="990"/>
      <c r="D22" s="990"/>
      <c r="E22" s="990"/>
      <c r="F22" s="991"/>
    </row>
    <row r="23" spans="2:12" ht="15.75" thickBot="1" x14ac:dyDescent="0.3">
      <c r="B23" s="989" t="s">
        <v>104</v>
      </c>
      <c r="C23" s="990"/>
      <c r="D23" s="990"/>
      <c r="E23" s="990"/>
      <c r="F23" s="991"/>
    </row>
    <row r="24" spans="2:12" ht="15.75" thickBot="1" x14ac:dyDescent="0.3">
      <c r="B24" s="160" t="s">
        <v>105</v>
      </c>
      <c r="C24" s="992" t="s">
        <v>856</v>
      </c>
      <c r="D24" s="993"/>
      <c r="E24" s="993"/>
      <c r="F24" s="994"/>
    </row>
    <row r="25" spans="2:12" ht="175.5" customHeight="1" thickBot="1" x14ac:dyDescent="0.3">
      <c r="B25" s="62" t="s">
        <v>17</v>
      </c>
      <c r="C25" s="1045" t="s">
        <v>857</v>
      </c>
      <c r="D25" s="1046"/>
      <c r="E25" s="1046"/>
      <c r="F25" s="1047"/>
    </row>
    <row r="26" spans="2:12" ht="15.75" thickBot="1" x14ac:dyDescent="0.3">
      <c r="B26" s="62" t="s">
        <v>18</v>
      </c>
      <c r="C26" s="1033" t="s">
        <v>858</v>
      </c>
      <c r="D26" s="1034"/>
      <c r="E26" s="1034"/>
      <c r="F26" s="1035"/>
    </row>
    <row r="27" spans="2:12" x14ac:dyDescent="0.25">
      <c r="B27" s="998"/>
      <c r="C27" s="63">
        <v>2018</v>
      </c>
      <c r="D27" s="63">
        <v>2019</v>
      </c>
      <c r="E27" s="63">
        <v>2020</v>
      </c>
      <c r="F27" s="63">
        <v>2021</v>
      </c>
    </row>
    <row r="28" spans="2:12" ht="17.25" customHeight="1" thickBot="1" x14ac:dyDescent="0.3">
      <c r="B28" s="999"/>
      <c r="C28" s="64" t="s">
        <v>10</v>
      </c>
      <c r="D28" s="64" t="s">
        <v>11</v>
      </c>
      <c r="E28" s="64" t="s">
        <v>11</v>
      </c>
      <c r="F28" s="64" t="s">
        <v>11</v>
      </c>
    </row>
    <row r="29" spans="2:12" ht="15.75" thickBot="1" x14ac:dyDescent="0.3">
      <c r="B29" s="62" t="s">
        <v>19</v>
      </c>
      <c r="C29" s="161">
        <v>200</v>
      </c>
      <c r="D29" s="161">
        <v>200</v>
      </c>
      <c r="E29" s="161">
        <v>200</v>
      </c>
      <c r="F29" s="161">
        <v>200</v>
      </c>
    </row>
    <row r="30" spans="2:12" ht="15.75" thickBot="1" x14ac:dyDescent="0.3">
      <c r="B30" s="62" t="s">
        <v>20</v>
      </c>
      <c r="C30" s="161">
        <f>C45</f>
        <v>184200</v>
      </c>
      <c r="D30" s="161">
        <f t="shared" ref="D30:F30" si="0">D45</f>
        <v>134200</v>
      </c>
      <c r="E30" s="161">
        <f t="shared" si="0"/>
        <v>134200</v>
      </c>
      <c r="F30" s="161">
        <f t="shared" si="0"/>
        <v>134200</v>
      </c>
    </row>
    <row r="31" spans="2:12" ht="15.75" thickBot="1" x14ac:dyDescent="0.3">
      <c r="B31" s="62" t="s">
        <v>21</v>
      </c>
      <c r="C31" s="161">
        <f>C30/C29</f>
        <v>921</v>
      </c>
      <c r="D31" s="161">
        <f t="shared" ref="D31:F31" si="1">D30/D29</f>
        <v>671</v>
      </c>
      <c r="E31" s="161">
        <f t="shared" si="1"/>
        <v>671</v>
      </c>
      <c r="F31" s="161">
        <f t="shared" si="1"/>
        <v>671</v>
      </c>
    </row>
    <row r="32" spans="2:12" ht="15.75" thickBot="1" x14ac:dyDescent="0.3">
      <c r="B32" s="62" t="s">
        <v>22</v>
      </c>
      <c r="C32" s="150" t="s">
        <v>23</v>
      </c>
      <c r="D32" s="162">
        <f>D29/C29-1</f>
        <v>0</v>
      </c>
      <c r="E32" s="162">
        <f t="shared" ref="E32:F34" si="2">E29/D29-1</f>
        <v>0</v>
      </c>
      <c r="F32" s="162">
        <f t="shared" si="2"/>
        <v>0</v>
      </c>
      <c r="H32" s="163"/>
      <c r="I32" s="163"/>
      <c r="J32" s="163"/>
      <c r="K32" s="163"/>
      <c r="L32" s="163"/>
    </row>
    <row r="33" spans="2:8" ht="15.75" thickBot="1" x14ac:dyDescent="0.3">
      <c r="B33" s="62" t="s">
        <v>24</v>
      </c>
      <c r="C33" s="150" t="s">
        <v>23</v>
      </c>
      <c r="D33" s="162">
        <f>D30/C30-1</f>
        <v>-0.2714440825190011</v>
      </c>
      <c r="E33" s="162">
        <f t="shared" si="2"/>
        <v>0</v>
      </c>
      <c r="F33" s="162">
        <f t="shared" si="2"/>
        <v>0</v>
      </c>
    </row>
    <row r="34" spans="2:8" ht="15.75" thickBot="1" x14ac:dyDescent="0.3">
      <c r="B34" s="62" t="s">
        <v>25</v>
      </c>
      <c r="C34" s="150" t="s">
        <v>23</v>
      </c>
      <c r="D34" s="162">
        <f>D31/C31-1</f>
        <v>-0.2714440825190011</v>
      </c>
      <c r="E34" s="162">
        <f t="shared" si="2"/>
        <v>0</v>
      </c>
      <c r="F34" s="162">
        <f t="shared" si="2"/>
        <v>0</v>
      </c>
    </row>
    <row r="35" spans="2:8" ht="15.75" thickBot="1" x14ac:dyDescent="0.3">
      <c r="B35" s="1000" t="s">
        <v>784</v>
      </c>
      <c r="C35" s="1001"/>
      <c r="D35" s="1001"/>
      <c r="E35" s="1001"/>
      <c r="F35" s="1002"/>
    </row>
    <row r="36" spans="2:8" ht="12.75" customHeight="1" x14ac:dyDescent="0.25">
      <c r="B36" s="998"/>
      <c r="C36" s="63">
        <v>2018</v>
      </c>
      <c r="D36" s="63">
        <v>2019</v>
      </c>
      <c r="E36" s="63">
        <v>2020</v>
      </c>
      <c r="F36" s="63">
        <v>2021</v>
      </c>
    </row>
    <row r="37" spans="2:8" ht="28.5" customHeight="1" thickBot="1" x14ac:dyDescent="0.3">
      <c r="B37" s="999"/>
      <c r="C37" s="64" t="s">
        <v>10</v>
      </c>
      <c r="D37" s="64" t="s">
        <v>11</v>
      </c>
      <c r="E37" s="64" t="s">
        <v>11</v>
      </c>
      <c r="F37" s="64" t="s">
        <v>11</v>
      </c>
    </row>
    <row r="38" spans="2:8" ht="15.75" thickBot="1" x14ac:dyDescent="0.3">
      <c r="B38" s="65" t="s">
        <v>26</v>
      </c>
      <c r="C38" s="164">
        <v>141300</v>
      </c>
      <c r="D38" s="334">
        <f>134200-D39-D40</f>
        <v>81148</v>
      </c>
      <c r="E38" s="334">
        <f t="shared" ref="E38:F38" si="3">134200-E39-E40</f>
        <v>79961.440000000002</v>
      </c>
      <c r="F38" s="334">
        <f t="shared" si="3"/>
        <v>78739.283200000005</v>
      </c>
    </row>
    <row r="39" spans="2:8" ht="30.75" thickBot="1" x14ac:dyDescent="0.3">
      <c r="B39" s="65" t="s">
        <v>28</v>
      </c>
      <c r="C39" s="164">
        <v>10900</v>
      </c>
      <c r="D39" s="164">
        <v>13500</v>
      </c>
      <c r="E39" s="164">
        <v>13500</v>
      </c>
      <c r="F39" s="164">
        <v>13500</v>
      </c>
    </row>
    <row r="40" spans="2:8" ht="15.75" thickBot="1" x14ac:dyDescent="0.3">
      <c r="B40" s="65" t="s">
        <v>30</v>
      </c>
      <c r="C40" s="165">
        <v>32000</v>
      </c>
      <c r="D40" s="164">
        <v>39552</v>
      </c>
      <c r="E40" s="164">
        <v>40738.559999999998</v>
      </c>
      <c r="F40" s="164">
        <v>41960.716800000002</v>
      </c>
      <c r="H40" s="163"/>
    </row>
    <row r="41" spans="2:8" ht="15.75" thickBot="1" x14ac:dyDescent="0.3">
      <c r="B41" s="65" t="s">
        <v>32</v>
      </c>
      <c r="C41" s="165"/>
      <c r="D41" s="164"/>
      <c r="E41" s="164"/>
      <c r="F41" s="164"/>
    </row>
    <row r="42" spans="2:8" ht="15.75" thickBot="1" x14ac:dyDescent="0.3">
      <c r="B42" s="65" t="s">
        <v>34</v>
      </c>
      <c r="C42" s="165"/>
      <c r="D42" s="164"/>
      <c r="E42" s="164"/>
      <c r="F42" s="164"/>
    </row>
    <row r="43" spans="2:8" ht="15.75" thickBot="1" x14ac:dyDescent="0.3">
      <c r="B43" s="65" t="s">
        <v>36</v>
      </c>
      <c r="C43" s="165"/>
      <c r="D43" s="164"/>
      <c r="E43" s="164"/>
      <c r="F43" s="164"/>
    </row>
    <row r="44" spans="2:8" ht="30.75" thickBot="1" x14ac:dyDescent="0.3">
      <c r="B44" s="65" t="s">
        <v>38</v>
      </c>
      <c r="C44" s="165"/>
      <c r="D44" s="164"/>
      <c r="E44" s="164"/>
      <c r="F44" s="164"/>
    </row>
    <row r="45" spans="2:8" ht="15.75" thickBot="1" x14ac:dyDescent="0.3">
      <c r="B45" s="66" t="s">
        <v>40</v>
      </c>
      <c r="C45" s="165">
        <f>C44+C43+C42+C41+C40+C39+C38</f>
        <v>184200</v>
      </c>
      <c r="D45" s="165">
        <f>D44+D43+D42+D41+D40+D39+D38</f>
        <v>134200</v>
      </c>
      <c r="E45" s="165">
        <f>E44+E43+E42+E41+E40+E39+E38</f>
        <v>134200</v>
      </c>
      <c r="F45" s="165">
        <f>F44+F43+F42+F41+F40+F39+F38</f>
        <v>134200</v>
      </c>
    </row>
    <row r="46" spans="2:8" ht="15.75" thickBot="1" x14ac:dyDescent="0.3">
      <c r="B46" s="166" t="s">
        <v>41</v>
      </c>
      <c r="C46" s="167">
        <f>IF(C45-C30=0,0,"Error")</f>
        <v>0</v>
      </c>
      <c r="D46" s="167">
        <f>IF(D45-D30=0,0,"Error")</f>
        <v>0</v>
      </c>
      <c r="E46" s="167">
        <f>IF(E45-E30=0,0,"Error")</f>
        <v>0</v>
      </c>
      <c r="F46" s="167">
        <f>IF(F45-F30=0,0,"Error")</f>
        <v>0</v>
      </c>
    </row>
    <row r="47" spans="2:8" ht="30.75" hidden="1" thickBot="1" x14ac:dyDescent="0.3">
      <c r="B47" s="195" t="s">
        <v>791</v>
      </c>
      <c r="C47" s="992" t="s">
        <v>106</v>
      </c>
      <c r="D47" s="993"/>
      <c r="E47" s="993"/>
      <c r="F47" s="994"/>
    </row>
    <row r="48" spans="2:8" ht="15.75" hidden="1" thickBot="1" x14ac:dyDescent="0.3">
      <c r="B48" s="62" t="s">
        <v>17</v>
      </c>
      <c r="C48" s="983" t="s">
        <v>106</v>
      </c>
      <c r="D48" s="984"/>
      <c r="E48" s="984"/>
      <c r="F48" s="985"/>
    </row>
    <row r="49" spans="2:6" ht="15.75" hidden="1" thickBot="1" x14ac:dyDescent="0.3">
      <c r="B49" s="62" t="s">
        <v>18</v>
      </c>
      <c r="C49" s="995" t="s">
        <v>106</v>
      </c>
      <c r="D49" s="996"/>
      <c r="E49" s="996"/>
      <c r="F49" s="997"/>
    </row>
    <row r="50" spans="2:6" ht="15.75" hidden="1" thickBot="1" x14ac:dyDescent="0.3">
      <c r="B50" s="62" t="s">
        <v>19</v>
      </c>
      <c r="C50" s="161"/>
      <c r="D50" s="161"/>
      <c r="E50" s="161"/>
      <c r="F50" s="161"/>
    </row>
    <row r="51" spans="2:6" ht="12.75" hidden="1" customHeight="1" x14ac:dyDescent="0.25">
      <c r="B51" s="998"/>
      <c r="C51" s="63">
        <v>2018</v>
      </c>
      <c r="D51" s="63">
        <v>2019</v>
      </c>
      <c r="E51" s="63">
        <v>2020</v>
      </c>
      <c r="F51" s="63">
        <v>2021</v>
      </c>
    </row>
    <row r="52" spans="2:6" ht="9" hidden="1" customHeight="1" thickBot="1" x14ac:dyDescent="0.3">
      <c r="B52" s="999"/>
      <c r="C52" s="64" t="s">
        <v>10</v>
      </c>
      <c r="D52" s="64" t="s">
        <v>11</v>
      </c>
      <c r="E52" s="64" t="s">
        <v>11</v>
      </c>
      <c r="F52" s="64" t="s">
        <v>11</v>
      </c>
    </row>
    <row r="53" spans="2:6" ht="15.75" hidden="1" thickBot="1" x14ac:dyDescent="0.3">
      <c r="B53" s="62" t="s">
        <v>20</v>
      </c>
      <c r="C53" s="161"/>
      <c r="D53" s="161"/>
      <c r="E53" s="161"/>
      <c r="F53" s="161"/>
    </row>
    <row r="54" spans="2:6" ht="15.75" hidden="1" thickBot="1" x14ac:dyDescent="0.3">
      <c r="B54" s="62" t="s">
        <v>21</v>
      </c>
      <c r="C54" s="161" t="e">
        <f>C53/C50</f>
        <v>#DIV/0!</v>
      </c>
      <c r="D54" s="161" t="e">
        <f>D53/D50</f>
        <v>#DIV/0!</v>
      </c>
      <c r="E54" s="161" t="e">
        <f>E53/E50</f>
        <v>#DIV/0!</v>
      </c>
      <c r="F54" s="161" t="e">
        <f>F53/F50</f>
        <v>#DIV/0!</v>
      </c>
    </row>
    <row r="55" spans="2:6" ht="15.75" hidden="1" thickBot="1" x14ac:dyDescent="0.3">
      <c r="B55" s="62" t="s">
        <v>22</v>
      </c>
      <c r="C55" s="150"/>
      <c r="D55" s="162" t="e">
        <f>D50/C50-1</f>
        <v>#DIV/0!</v>
      </c>
      <c r="E55" s="162" t="e">
        <f>E50/D50-1</f>
        <v>#DIV/0!</v>
      </c>
      <c r="F55" s="162" t="e">
        <f>F50/E50-1</f>
        <v>#DIV/0!</v>
      </c>
    </row>
    <row r="56" spans="2:6" ht="15.75" hidden="1" thickBot="1" x14ac:dyDescent="0.3">
      <c r="B56" s="62" t="s">
        <v>24</v>
      </c>
      <c r="C56" s="150"/>
      <c r="D56" s="162" t="e">
        <f>D53/C53-1</f>
        <v>#DIV/0!</v>
      </c>
      <c r="E56" s="162" t="e">
        <f t="shared" ref="E56:F57" si="4">E53/D53-1</f>
        <v>#DIV/0!</v>
      </c>
      <c r="F56" s="162" t="e">
        <f t="shared" si="4"/>
        <v>#DIV/0!</v>
      </c>
    </row>
    <row r="57" spans="2:6" ht="15.75" hidden="1" thickBot="1" x14ac:dyDescent="0.3">
      <c r="B57" s="62" t="s">
        <v>25</v>
      </c>
      <c r="C57" s="150"/>
      <c r="D57" s="162" t="e">
        <f>D54/C54-1</f>
        <v>#DIV/0!</v>
      </c>
      <c r="E57" s="162" t="e">
        <f t="shared" si="4"/>
        <v>#DIV/0!</v>
      </c>
      <c r="F57" s="162" t="e">
        <f t="shared" si="4"/>
        <v>#DIV/0!</v>
      </c>
    </row>
    <row r="58" spans="2:6" ht="24.75" hidden="1" customHeight="1" thickBot="1" x14ac:dyDescent="0.3">
      <c r="B58" s="1000" t="s">
        <v>792</v>
      </c>
      <c r="C58" s="1001"/>
      <c r="D58" s="1001"/>
      <c r="E58" s="1001"/>
      <c r="F58" s="1002"/>
    </row>
    <row r="59" spans="2:6" ht="12.75" hidden="1" customHeight="1" x14ac:dyDescent="0.25">
      <c r="B59" s="998"/>
      <c r="C59" s="63">
        <v>2018</v>
      </c>
      <c r="D59" s="63">
        <v>2019</v>
      </c>
      <c r="E59" s="63">
        <v>2020</v>
      </c>
      <c r="F59" s="63">
        <v>2021</v>
      </c>
    </row>
    <row r="60" spans="2:6" ht="9" hidden="1" customHeight="1" thickBot="1" x14ac:dyDescent="0.3">
      <c r="B60" s="999"/>
      <c r="C60" s="64" t="s">
        <v>10</v>
      </c>
      <c r="D60" s="64" t="s">
        <v>11</v>
      </c>
      <c r="E60" s="64" t="s">
        <v>11</v>
      </c>
      <c r="F60" s="64" t="s">
        <v>11</v>
      </c>
    </row>
    <row r="61" spans="2:6" ht="24.75" hidden="1" customHeight="1" thickBot="1" x14ac:dyDescent="0.3">
      <c r="B61" s="65" t="s">
        <v>26</v>
      </c>
      <c r="C61" s="164"/>
      <c r="D61" s="164"/>
      <c r="E61" s="164"/>
      <c r="F61" s="164"/>
    </row>
    <row r="62" spans="2:6" ht="24.75" hidden="1" customHeight="1" thickBot="1" x14ac:dyDescent="0.3">
      <c r="B62" s="65" t="s">
        <v>28</v>
      </c>
      <c r="C62" s="164"/>
      <c r="D62" s="164"/>
      <c r="E62" s="164"/>
      <c r="F62" s="164"/>
    </row>
    <row r="63" spans="2:6" ht="24.75" hidden="1" customHeight="1" thickBot="1" x14ac:dyDescent="0.3">
      <c r="B63" s="65" t="s">
        <v>30</v>
      </c>
      <c r="C63" s="165"/>
      <c r="D63" s="164"/>
      <c r="E63" s="164"/>
      <c r="F63" s="164"/>
    </row>
    <row r="64" spans="2:6" ht="15.75" hidden="1" thickBot="1" x14ac:dyDescent="0.3">
      <c r="B64" s="65" t="s">
        <v>32</v>
      </c>
      <c r="C64" s="165"/>
      <c r="D64" s="164"/>
      <c r="E64" s="164"/>
      <c r="F64" s="164"/>
    </row>
    <row r="65" spans="2:6" ht="15.75" hidden="1" thickBot="1" x14ac:dyDescent="0.3">
      <c r="B65" s="65" t="s">
        <v>34</v>
      </c>
      <c r="C65" s="165"/>
      <c r="D65" s="164"/>
      <c r="E65" s="164"/>
      <c r="F65" s="164"/>
    </row>
    <row r="66" spans="2:6" ht="15.75" hidden="1" thickBot="1" x14ac:dyDescent="0.3">
      <c r="B66" s="65" t="s">
        <v>36</v>
      </c>
      <c r="C66" s="165"/>
      <c r="D66" s="164"/>
      <c r="E66" s="164"/>
      <c r="F66" s="164"/>
    </row>
    <row r="67" spans="2:6" ht="30.75" hidden="1" thickBot="1" x14ac:dyDescent="0.3">
      <c r="B67" s="65" t="s">
        <v>38</v>
      </c>
      <c r="C67" s="165"/>
      <c r="D67" s="164"/>
      <c r="E67" s="164"/>
      <c r="F67" s="164"/>
    </row>
    <row r="68" spans="2:6" ht="15.75" hidden="1" thickBot="1" x14ac:dyDescent="0.3">
      <c r="B68" s="196" t="s">
        <v>74</v>
      </c>
      <c r="C68" s="165">
        <f>C67+C66+C65+C64+C63+C62+C61</f>
        <v>0</v>
      </c>
      <c r="D68" s="165">
        <f>D67+D66+D65+D64+D63+D62+D61</f>
        <v>0</v>
      </c>
      <c r="E68" s="165">
        <f>E67+E66+E65+E64+E63+E62+E61</f>
        <v>0</v>
      </c>
      <c r="F68" s="165">
        <f>F67+F66+F65+F64+F63+F62+F61</f>
        <v>0</v>
      </c>
    </row>
    <row r="69" spans="2:6" ht="17.25" hidden="1" customHeight="1" thickBot="1" x14ac:dyDescent="0.3">
      <c r="B69" s="166" t="s">
        <v>41</v>
      </c>
      <c r="C69" s="167">
        <f>IF(C68-C53=0,0,"Error")</f>
        <v>0</v>
      </c>
      <c r="D69" s="167">
        <f>IF(D68-D53=0,0,"Error")</f>
        <v>0</v>
      </c>
      <c r="E69" s="167">
        <f>IF(E68-E53=0,0,"Error")</f>
        <v>0</v>
      </c>
      <c r="F69" s="167">
        <f>IF(F68-F53=0,0,"Error")</f>
        <v>0</v>
      </c>
    </row>
    <row r="70" spans="2:6" ht="15.75" thickBot="1" x14ac:dyDescent="0.3">
      <c r="B70" s="989" t="s">
        <v>63</v>
      </c>
      <c r="C70" s="990"/>
      <c r="D70" s="990"/>
      <c r="E70" s="990"/>
      <c r="F70" s="991"/>
    </row>
    <row r="71" spans="2:6" ht="15.75" thickBot="1" x14ac:dyDescent="0.3">
      <c r="B71" s="989" t="s">
        <v>56</v>
      </c>
      <c r="C71" s="990"/>
      <c r="D71" s="990"/>
      <c r="E71" s="990"/>
      <c r="F71" s="991"/>
    </row>
    <row r="72" spans="2:6" ht="15.75" thickBot="1" x14ac:dyDescent="0.3">
      <c r="B72" s="67" t="s">
        <v>79</v>
      </c>
      <c r="C72" s="1009" t="s">
        <v>130</v>
      </c>
      <c r="D72" s="1010"/>
      <c r="E72" s="1010"/>
      <c r="F72" s="1011"/>
    </row>
    <row r="73" spans="2:6" ht="15.75" thickBot="1" x14ac:dyDescent="0.3">
      <c r="B73" s="160" t="s">
        <v>16</v>
      </c>
      <c r="C73" s="992" t="s">
        <v>106</v>
      </c>
      <c r="D73" s="993"/>
      <c r="E73" s="993"/>
      <c r="F73" s="994"/>
    </row>
    <row r="74" spans="2:6" ht="17.25" customHeight="1" thickBot="1" x14ac:dyDescent="0.3">
      <c r="B74" s="62" t="s">
        <v>17</v>
      </c>
      <c r="C74" s="983" t="s">
        <v>106</v>
      </c>
      <c r="D74" s="984"/>
      <c r="E74" s="984"/>
      <c r="F74" s="985"/>
    </row>
    <row r="75" spans="2:6" ht="15.75" thickBot="1" x14ac:dyDescent="0.3">
      <c r="B75" s="62" t="s">
        <v>18</v>
      </c>
      <c r="C75" s="995" t="s">
        <v>106</v>
      </c>
      <c r="D75" s="996"/>
      <c r="E75" s="996"/>
      <c r="F75" s="997"/>
    </row>
    <row r="76" spans="2:6" ht="12.75" customHeight="1" x14ac:dyDescent="0.25">
      <c r="B76" s="998"/>
      <c r="C76" s="63">
        <v>2018</v>
      </c>
      <c r="D76" s="63">
        <v>2019</v>
      </c>
      <c r="E76" s="63">
        <v>2020</v>
      </c>
      <c r="F76" s="63">
        <v>2021</v>
      </c>
    </row>
    <row r="77" spans="2:6" ht="29.25" customHeight="1" thickBot="1" x14ac:dyDescent="0.3">
      <c r="B77" s="999"/>
      <c r="C77" s="64" t="s">
        <v>10</v>
      </c>
      <c r="D77" s="64" t="s">
        <v>11</v>
      </c>
      <c r="E77" s="64" t="s">
        <v>11</v>
      </c>
      <c r="F77" s="64" t="s">
        <v>11</v>
      </c>
    </row>
    <row r="78" spans="2:6" ht="15.75" thickBot="1" x14ac:dyDescent="0.3">
      <c r="B78" s="62" t="s">
        <v>19</v>
      </c>
      <c r="C78" s="161"/>
      <c r="D78" s="161"/>
      <c r="E78" s="161"/>
      <c r="F78" s="161"/>
    </row>
    <row r="79" spans="2:6" ht="15.75" thickBot="1" x14ac:dyDescent="0.3">
      <c r="B79" s="62" t="s">
        <v>20</v>
      </c>
      <c r="C79" s="161"/>
      <c r="D79" s="161"/>
      <c r="E79" s="161"/>
      <c r="F79" s="161"/>
    </row>
    <row r="80" spans="2:6" ht="15.75" thickBot="1" x14ac:dyDescent="0.3">
      <c r="B80" s="62" t="s">
        <v>21</v>
      </c>
      <c r="C80" s="161" t="e">
        <f>C79/C78</f>
        <v>#DIV/0!</v>
      </c>
      <c r="D80" s="161" t="e">
        <f t="shared" ref="D80:F80" si="5">D79/D78</f>
        <v>#DIV/0!</v>
      </c>
      <c r="E80" s="161" t="e">
        <f t="shared" si="5"/>
        <v>#DIV/0!</v>
      </c>
      <c r="F80" s="161" t="e">
        <f t="shared" si="5"/>
        <v>#DIV/0!</v>
      </c>
    </row>
    <row r="81" spans="2:12" ht="15.75" thickBot="1" x14ac:dyDescent="0.3">
      <c r="B81" s="62" t="s">
        <v>22</v>
      </c>
      <c r="C81" s="150" t="s">
        <v>23</v>
      </c>
      <c r="D81" s="162" t="e">
        <f>D78/C78-1</f>
        <v>#DIV/0!</v>
      </c>
      <c r="E81" s="162" t="e">
        <f t="shared" ref="E81:F83" si="6">E78/D78-1</f>
        <v>#DIV/0!</v>
      </c>
      <c r="F81" s="162" t="e">
        <f t="shared" si="6"/>
        <v>#DIV/0!</v>
      </c>
      <c r="H81" s="163"/>
      <c r="I81" s="163"/>
      <c r="J81" s="163"/>
      <c r="K81" s="163"/>
      <c r="L81" s="163"/>
    </row>
    <row r="82" spans="2:12" ht="15.75" thickBot="1" x14ac:dyDescent="0.3">
      <c r="B82" s="62" t="s">
        <v>24</v>
      </c>
      <c r="C82" s="150" t="s">
        <v>23</v>
      </c>
      <c r="D82" s="162" t="e">
        <f>D79/C79-1</f>
        <v>#DIV/0!</v>
      </c>
      <c r="E82" s="162" t="e">
        <f t="shared" si="6"/>
        <v>#DIV/0!</v>
      </c>
      <c r="F82" s="162" t="e">
        <f t="shared" si="6"/>
        <v>#DIV/0!</v>
      </c>
    </row>
    <row r="83" spans="2:12" ht="15.75" thickBot="1" x14ac:dyDescent="0.3">
      <c r="B83" s="62" t="s">
        <v>25</v>
      </c>
      <c r="C83" s="150" t="s">
        <v>23</v>
      </c>
      <c r="D83" s="162" t="e">
        <f>D80/C80-1</f>
        <v>#DIV/0!</v>
      </c>
      <c r="E83" s="162" t="e">
        <f t="shared" si="6"/>
        <v>#DIV/0!</v>
      </c>
      <c r="F83" s="162" t="e">
        <f t="shared" si="6"/>
        <v>#DIV/0!</v>
      </c>
    </row>
    <row r="84" spans="2:12" ht="15.75" thickBot="1" x14ac:dyDescent="0.3">
      <c r="B84" s="1000" t="s">
        <v>784</v>
      </c>
      <c r="C84" s="1001"/>
      <c r="D84" s="1001"/>
      <c r="E84" s="1001"/>
      <c r="F84" s="1002"/>
    </row>
    <row r="85" spans="2:12" ht="12.75" customHeight="1" x14ac:dyDescent="0.25">
      <c r="B85" s="998"/>
      <c r="C85" s="63">
        <v>2018</v>
      </c>
      <c r="D85" s="63">
        <v>2019</v>
      </c>
      <c r="E85" s="63">
        <v>2020</v>
      </c>
      <c r="F85" s="63">
        <v>2021</v>
      </c>
    </row>
    <row r="86" spans="2:12" ht="27" customHeight="1" thickBot="1" x14ac:dyDescent="0.3">
      <c r="B86" s="999"/>
      <c r="C86" s="64" t="s">
        <v>10</v>
      </c>
      <c r="D86" s="64" t="s">
        <v>11</v>
      </c>
      <c r="E86" s="64" t="s">
        <v>11</v>
      </c>
      <c r="F86" s="64" t="s">
        <v>11</v>
      </c>
    </row>
    <row r="87" spans="2:12" ht="15.75" thickBot="1" x14ac:dyDescent="0.3">
      <c r="B87" s="65" t="s">
        <v>58</v>
      </c>
      <c r="C87" s="164"/>
      <c r="D87" s="164"/>
      <c r="E87" s="164"/>
      <c r="F87" s="164"/>
    </row>
    <row r="88" spans="2:12" ht="15.75" thickBot="1" x14ac:dyDescent="0.3">
      <c r="B88" s="65" t="s">
        <v>59</v>
      </c>
      <c r="C88" s="165">
        <v>15000</v>
      </c>
      <c r="D88" s="164">
        <v>0</v>
      </c>
      <c r="E88" s="164">
        <v>0</v>
      </c>
      <c r="F88" s="164">
        <v>0</v>
      </c>
    </row>
    <row r="89" spans="2:12" ht="15.75" thickBot="1" x14ac:dyDescent="0.3">
      <c r="B89" s="66" t="s">
        <v>40</v>
      </c>
      <c r="C89" s="165">
        <f>C88+C87</f>
        <v>15000</v>
      </c>
      <c r="D89" s="165">
        <f t="shared" ref="D89:F89" si="7">D88+D87</f>
        <v>0</v>
      </c>
      <c r="E89" s="165">
        <f t="shared" si="7"/>
        <v>0</v>
      </c>
      <c r="F89" s="165">
        <f t="shared" si="7"/>
        <v>0</v>
      </c>
    </row>
    <row r="90" spans="2:12" x14ac:dyDescent="0.25">
      <c r="B90" s="1015" t="s">
        <v>60</v>
      </c>
      <c r="C90" s="1036"/>
      <c r="D90" s="1037"/>
      <c r="E90" s="1037"/>
      <c r="F90" s="1038"/>
    </row>
    <row r="91" spans="2:12" x14ac:dyDescent="0.25">
      <c r="B91" s="1016"/>
      <c r="C91" s="1039"/>
      <c r="D91" s="1040"/>
      <c r="E91" s="1040"/>
      <c r="F91" s="1041"/>
    </row>
    <row r="92" spans="2:12" ht="15.75" thickBot="1" x14ac:dyDescent="0.3">
      <c r="B92" s="1017"/>
      <c r="C92" s="1042"/>
      <c r="D92" s="1043"/>
      <c r="E92" s="1043"/>
      <c r="F92" s="1044"/>
    </row>
    <row r="93" spans="2:12" ht="15.75" hidden="1" thickBot="1" x14ac:dyDescent="0.3">
      <c r="B93" s="67" t="s">
        <v>61</v>
      </c>
      <c r="C93" s="1009" t="s">
        <v>130</v>
      </c>
      <c r="D93" s="1010"/>
      <c r="E93" s="1010"/>
      <c r="F93" s="1011"/>
    </row>
    <row r="94" spans="2:12" ht="30.75" hidden="1" thickBot="1" x14ac:dyDescent="0.3">
      <c r="B94" s="160" t="s">
        <v>129</v>
      </c>
      <c r="C94" s="992" t="s">
        <v>106</v>
      </c>
      <c r="D94" s="993"/>
      <c r="E94" s="993"/>
      <c r="F94" s="994"/>
    </row>
    <row r="95" spans="2:12" ht="17.25" hidden="1" customHeight="1" thickBot="1" x14ac:dyDescent="0.3">
      <c r="B95" s="62" t="s">
        <v>17</v>
      </c>
      <c r="C95" s="983" t="s">
        <v>106</v>
      </c>
      <c r="D95" s="984"/>
      <c r="E95" s="984"/>
      <c r="F95" s="985"/>
    </row>
    <row r="96" spans="2:12" ht="15.75" hidden="1" thickBot="1" x14ac:dyDescent="0.3">
      <c r="B96" s="62" t="s">
        <v>18</v>
      </c>
      <c r="C96" s="995" t="s">
        <v>106</v>
      </c>
      <c r="D96" s="996"/>
      <c r="E96" s="996"/>
      <c r="F96" s="997"/>
    </row>
    <row r="97" spans="2:12" ht="12.75" hidden="1" customHeight="1" x14ac:dyDescent="0.25">
      <c r="B97" s="998"/>
      <c r="C97" s="63">
        <v>2018</v>
      </c>
      <c r="D97" s="63">
        <v>2019</v>
      </c>
      <c r="E97" s="63">
        <v>2020</v>
      </c>
      <c r="F97" s="63">
        <v>2021</v>
      </c>
    </row>
    <row r="98" spans="2:12" ht="9" hidden="1" customHeight="1" thickBot="1" x14ac:dyDescent="0.3">
      <c r="B98" s="999"/>
      <c r="C98" s="64" t="s">
        <v>10</v>
      </c>
      <c r="D98" s="64" t="s">
        <v>11</v>
      </c>
      <c r="E98" s="64" t="s">
        <v>11</v>
      </c>
      <c r="F98" s="64" t="s">
        <v>11</v>
      </c>
    </row>
    <row r="99" spans="2:12" ht="15.75" hidden="1" thickBot="1" x14ac:dyDescent="0.3">
      <c r="B99" s="62" t="s">
        <v>19</v>
      </c>
      <c r="C99" s="161"/>
      <c r="D99" s="161"/>
      <c r="E99" s="161"/>
      <c r="F99" s="161"/>
    </row>
    <row r="100" spans="2:12" ht="15.75" hidden="1" thickBot="1" x14ac:dyDescent="0.3">
      <c r="B100" s="62" t="s">
        <v>20</v>
      </c>
      <c r="C100" s="161"/>
      <c r="D100" s="161"/>
      <c r="E100" s="161"/>
      <c r="F100" s="161"/>
    </row>
    <row r="101" spans="2:12" ht="15.75" hidden="1" thickBot="1" x14ac:dyDescent="0.3">
      <c r="B101" s="62" t="s">
        <v>21</v>
      </c>
      <c r="C101" s="161" t="e">
        <f>C100/C99</f>
        <v>#DIV/0!</v>
      </c>
      <c r="D101" s="161" t="e">
        <f t="shared" ref="D101:F101" si="8">D100/D99</f>
        <v>#DIV/0!</v>
      </c>
      <c r="E101" s="161" t="e">
        <f t="shared" si="8"/>
        <v>#DIV/0!</v>
      </c>
      <c r="F101" s="161" t="e">
        <f t="shared" si="8"/>
        <v>#DIV/0!</v>
      </c>
    </row>
    <row r="102" spans="2:12" ht="15.75" hidden="1" thickBot="1" x14ac:dyDescent="0.3">
      <c r="B102" s="62" t="s">
        <v>22</v>
      </c>
      <c r="C102" s="150" t="s">
        <v>23</v>
      </c>
      <c r="D102" s="162" t="e">
        <f>D99/C99-1</f>
        <v>#DIV/0!</v>
      </c>
      <c r="E102" s="162" t="e">
        <f t="shared" ref="E102:F104" si="9">E99/D99-1</f>
        <v>#DIV/0!</v>
      </c>
      <c r="F102" s="162" t="e">
        <f t="shared" si="9"/>
        <v>#DIV/0!</v>
      </c>
      <c r="H102" s="163"/>
      <c r="I102" s="163"/>
      <c r="J102" s="163"/>
      <c r="K102" s="163"/>
      <c r="L102" s="163"/>
    </row>
    <row r="103" spans="2:12" ht="15.75" hidden="1" thickBot="1" x14ac:dyDescent="0.3">
      <c r="B103" s="62" t="s">
        <v>24</v>
      </c>
      <c r="C103" s="150" t="s">
        <v>23</v>
      </c>
      <c r="D103" s="162" t="e">
        <f>D100/C100-1</f>
        <v>#DIV/0!</v>
      </c>
      <c r="E103" s="162" t="e">
        <f t="shared" si="9"/>
        <v>#DIV/0!</v>
      </c>
      <c r="F103" s="162" t="e">
        <f t="shared" si="9"/>
        <v>#DIV/0!</v>
      </c>
    </row>
    <row r="104" spans="2:12" ht="15.75" hidden="1" thickBot="1" x14ac:dyDescent="0.3">
      <c r="B104" s="62" t="s">
        <v>25</v>
      </c>
      <c r="C104" s="150" t="s">
        <v>23</v>
      </c>
      <c r="D104" s="162" t="e">
        <f>D101/C101-1</f>
        <v>#DIV/0!</v>
      </c>
      <c r="E104" s="162" t="e">
        <f t="shared" si="9"/>
        <v>#DIV/0!</v>
      </c>
      <c r="F104" s="162" t="e">
        <f t="shared" si="9"/>
        <v>#DIV/0!</v>
      </c>
    </row>
    <row r="105" spans="2:12" ht="15.75" hidden="1" thickBot="1" x14ac:dyDescent="0.3">
      <c r="B105" s="1000" t="s">
        <v>793</v>
      </c>
      <c r="C105" s="1001"/>
      <c r="D105" s="1001"/>
      <c r="E105" s="1001"/>
      <c r="F105" s="1002"/>
    </row>
    <row r="106" spans="2:12" ht="12.75" hidden="1" customHeight="1" x14ac:dyDescent="0.25">
      <c r="B106" s="998"/>
      <c r="C106" s="63">
        <v>2018</v>
      </c>
      <c r="D106" s="63">
        <v>2019</v>
      </c>
      <c r="E106" s="63">
        <v>2020</v>
      </c>
      <c r="F106" s="63">
        <v>2021</v>
      </c>
    </row>
    <row r="107" spans="2:12" ht="9" hidden="1" customHeight="1" thickBot="1" x14ac:dyDescent="0.3">
      <c r="B107" s="999"/>
      <c r="C107" s="64" t="s">
        <v>10</v>
      </c>
      <c r="D107" s="64" t="s">
        <v>11</v>
      </c>
      <c r="E107" s="64" t="s">
        <v>11</v>
      </c>
      <c r="F107" s="64" t="s">
        <v>11</v>
      </c>
    </row>
    <row r="108" spans="2:12" ht="15.75" hidden="1" thickBot="1" x14ac:dyDescent="0.3">
      <c r="B108" s="65" t="s">
        <v>58</v>
      </c>
      <c r="C108" s="164"/>
      <c r="D108" s="164"/>
      <c r="E108" s="164"/>
      <c r="F108" s="164"/>
    </row>
    <row r="109" spans="2:12" ht="15.75" hidden="1" thickBot="1" x14ac:dyDescent="0.3">
      <c r="B109" s="65" t="s">
        <v>59</v>
      </c>
      <c r="C109" s="165"/>
      <c r="D109" s="164"/>
      <c r="E109" s="164"/>
      <c r="F109" s="164"/>
    </row>
    <row r="110" spans="2:12" ht="15.75" hidden="1" thickBot="1" x14ac:dyDescent="0.3">
      <c r="B110" s="66" t="s">
        <v>74</v>
      </c>
      <c r="C110" s="165">
        <f>C109+C108</f>
        <v>0</v>
      </c>
      <c r="D110" s="165">
        <f t="shared" ref="D110:F110" si="10">D109+D108</f>
        <v>0</v>
      </c>
      <c r="E110" s="165">
        <f t="shared" si="10"/>
        <v>0</v>
      </c>
      <c r="F110" s="165">
        <f t="shared" si="10"/>
        <v>0</v>
      </c>
    </row>
    <row r="111" spans="2:12" ht="15.75" hidden="1" thickBot="1" x14ac:dyDescent="0.3">
      <c r="B111" s="989" t="s">
        <v>63</v>
      </c>
      <c r="C111" s="990"/>
      <c r="D111" s="990"/>
      <c r="E111" s="990"/>
      <c r="F111" s="991"/>
    </row>
    <row r="112" spans="2:12" ht="15.75" hidden="1" thickBot="1" x14ac:dyDescent="0.3">
      <c r="B112" s="989" t="s">
        <v>64</v>
      </c>
      <c r="C112" s="990"/>
      <c r="D112" s="990"/>
      <c r="E112" s="990"/>
      <c r="F112" s="991"/>
    </row>
    <row r="113" spans="2:12" ht="15.75" hidden="1" thickBot="1" x14ac:dyDescent="0.3">
      <c r="B113" s="67" t="s">
        <v>61</v>
      </c>
      <c r="C113" s="1009" t="s">
        <v>130</v>
      </c>
      <c r="D113" s="1010"/>
      <c r="E113" s="1010"/>
      <c r="F113" s="1011"/>
    </row>
    <row r="114" spans="2:12" ht="15.75" hidden="1" thickBot="1" x14ac:dyDescent="0.3">
      <c r="B114" s="160" t="s">
        <v>16</v>
      </c>
      <c r="C114" s="992" t="s">
        <v>106</v>
      </c>
      <c r="D114" s="993"/>
      <c r="E114" s="993"/>
      <c r="F114" s="994"/>
    </row>
    <row r="115" spans="2:12" ht="17.25" hidden="1" customHeight="1" thickBot="1" x14ac:dyDescent="0.3">
      <c r="B115" s="62" t="s">
        <v>17</v>
      </c>
      <c r="C115" s="983" t="s">
        <v>106</v>
      </c>
      <c r="D115" s="984"/>
      <c r="E115" s="984"/>
      <c r="F115" s="985"/>
    </row>
    <row r="116" spans="2:12" ht="15.75" hidden="1" thickBot="1" x14ac:dyDescent="0.3">
      <c r="B116" s="62" t="s">
        <v>18</v>
      </c>
      <c r="C116" s="995" t="s">
        <v>106</v>
      </c>
      <c r="D116" s="996"/>
      <c r="E116" s="996"/>
      <c r="F116" s="997"/>
    </row>
    <row r="117" spans="2:12" ht="12.75" hidden="1" customHeight="1" x14ac:dyDescent="0.25">
      <c r="B117" s="998"/>
      <c r="C117" s="63">
        <v>2018</v>
      </c>
      <c r="D117" s="63">
        <v>2019</v>
      </c>
      <c r="E117" s="63">
        <v>2020</v>
      </c>
      <c r="F117" s="63">
        <v>2021</v>
      </c>
    </row>
    <row r="118" spans="2:12" ht="9" hidden="1" customHeight="1" thickBot="1" x14ac:dyDescent="0.3">
      <c r="B118" s="999"/>
      <c r="C118" s="64" t="s">
        <v>10</v>
      </c>
      <c r="D118" s="64" t="s">
        <v>11</v>
      </c>
      <c r="E118" s="64" t="s">
        <v>11</v>
      </c>
      <c r="F118" s="64" t="s">
        <v>11</v>
      </c>
    </row>
    <row r="119" spans="2:12" ht="15.75" hidden="1" thickBot="1" x14ac:dyDescent="0.3">
      <c r="B119" s="62" t="s">
        <v>19</v>
      </c>
      <c r="C119" s="161"/>
      <c r="D119" s="161"/>
      <c r="E119" s="161"/>
      <c r="F119" s="161"/>
    </row>
    <row r="120" spans="2:12" ht="15.75" hidden="1" thickBot="1" x14ac:dyDescent="0.3">
      <c r="B120" s="62" t="s">
        <v>20</v>
      </c>
      <c r="C120" s="161"/>
      <c r="D120" s="161"/>
      <c r="E120" s="161"/>
      <c r="F120" s="161"/>
    </row>
    <row r="121" spans="2:12" ht="15.75" hidden="1" thickBot="1" x14ac:dyDescent="0.3">
      <c r="B121" s="62" t="s">
        <v>21</v>
      </c>
      <c r="C121" s="161" t="e">
        <f>C120/C119</f>
        <v>#DIV/0!</v>
      </c>
      <c r="D121" s="161" t="e">
        <f t="shared" ref="D121:F121" si="11">D120/D119</f>
        <v>#DIV/0!</v>
      </c>
      <c r="E121" s="161" t="e">
        <f t="shared" si="11"/>
        <v>#DIV/0!</v>
      </c>
      <c r="F121" s="161" t="e">
        <f t="shared" si="11"/>
        <v>#DIV/0!</v>
      </c>
    </row>
    <row r="122" spans="2:12" ht="15.75" hidden="1" thickBot="1" x14ac:dyDescent="0.3">
      <c r="B122" s="62" t="s">
        <v>22</v>
      </c>
      <c r="C122" s="150" t="s">
        <v>23</v>
      </c>
      <c r="D122" s="162" t="e">
        <f>D119/C119-1</f>
        <v>#DIV/0!</v>
      </c>
      <c r="E122" s="162" t="e">
        <f t="shared" ref="E122:F124" si="12">E119/D119-1</f>
        <v>#DIV/0!</v>
      </c>
      <c r="F122" s="162" t="e">
        <f t="shared" si="12"/>
        <v>#DIV/0!</v>
      </c>
      <c r="H122" s="163"/>
      <c r="I122" s="163"/>
      <c r="J122" s="163"/>
      <c r="K122" s="163"/>
      <c r="L122" s="163"/>
    </row>
    <row r="123" spans="2:12" ht="15.75" hidden="1" thickBot="1" x14ac:dyDescent="0.3">
      <c r="B123" s="62" t="s">
        <v>24</v>
      </c>
      <c r="C123" s="150" t="s">
        <v>23</v>
      </c>
      <c r="D123" s="162" t="e">
        <f>D120/C120-1</f>
        <v>#DIV/0!</v>
      </c>
      <c r="E123" s="162" t="e">
        <f t="shared" si="12"/>
        <v>#DIV/0!</v>
      </c>
      <c r="F123" s="162" t="e">
        <f t="shared" si="12"/>
        <v>#DIV/0!</v>
      </c>
    </row>
    <row r="124" spans="2:12" ht="15.75" hidden="1" thickBot="1" x14ac:dyDescent="0.3">
      <c r="B124" s="62" t="s">
        <v>25</v>
      </c>
      <c r="C124" s="150" t="s">
        <v>23</v>
      </c>
      <c r="D124" s="162" t="e">
        <f>D121/C121-1</f>
        <v>#DIV/0!</v>
      </c>
      <c r="E124" s="162" t="e">
        <f t="shared" si="12"/>
        <v>#DIV/0!</v>
      </c>
      <c r="F124" s="162" t="e">
        <f t="shared" si="12"/>
        <v>#DIV/0!</v>
      </c>
    </row>
    <row r="125" spans="2:12" ht="15.75" hidden="1" thickBot="1" x14ac:dyDescent="0.3">
      <c r="B125" s="1000" t="s">
        <v>784</v>
      </c>
      <c r="C125" s="1001"/>
      <c r="D125" s="1001"/>
      <c r="E125" s="1001"/>
      <c r="F125" s="1002"/>
    </row>
    <row r="126" spans="2:12" ht="12.75" hidden="1" customHeight="1" x14ac:dyDescent="0.25">
      <c r="B126" s="998"/>
      <c r="C126" s="63">
        <v>2018</v>
      </c>
      <c r="D126" s="63">
        <v>2019</v>
      </c>
      <c r="E126" s="63">
        <v>2020</v>
      </c>
      <c r="F126" s="63">
        <v>2021</v>
      </c>
    </row>
    <row r="127" spans="2:12" ht="9" hidden="1" customHeight="1" thickBot="1" x14ac:dyDescent="0.3">
      <c r="B127" s="999"/>
      <c r="C127" s="64" t="s">
        <v>10</v>
      </c>
      <c r="D127" s="64" t="s">
        <v>11</v>
      </c>
      <c r="E127" s="64" t="s">
        <v>11</v>
      </c>
      <c r="F127" s="64" t="s">
        <v>11</v>
      </c>
    </row>
    <row r="128" spans="2:12" ht="15.75" hidden="1" thickBot="1" x14ac:dyDescent="0.3">
      <c r="B128" s="65" t="s">
        <v>58</v>
      </c>
      <c r="C128" s="164"/>
      <c r="D128" s="164"/>
      <c r="E128" s="164"/>
      <c r="F128" s="164"/>
    </row>
    <row r="129" spans="2:12" ht="15.75" hidden="1" thickBot="1" x14ac:dyDescent="0.3">
      <c r="B129" s="65" t="s">
        <v>59</v>
      </c>
      <c r="C129" s="165"/>
      <c r="D129" s="164"/>
      <c r="E129" s="164"/>
      <c r="F129" s="164"/>
    </row>
    <row r="130" spans="2:12" ht="15.75" hidden="1" thickBot="1" x14ac:dyDescent="0.3">
      <c r="B130" s="66" t="s">
        <v>40</v>
      </c>
      <c r="C130" s="165">
        <f>C129+C128</f>
        <v>0</v>
      </c>
      <c r="D130" s="165">
        <f t="shared" ref="D130:F130" si="13">D129+D128</f>
        <v>0</v>
      </c>
      <c r="E130" s="165">
        <f t="shared" si="13"/>
        <v>0</v>
      </c>
      <c r="F130" s="165">
        <f t="shared" si="13"/>
        <v>0</v>
      </c>
    </row>
    <row r="131" spans="2:12" ht="15.75" hidden="1" thickBot="1" x14ac:dyDescent="0.3">
      <c r="B131" s="197" t="s">
        <v>61</v>
      </c>
      <c r="C131" s="1009" t="s">
        <v>130</v>
      </c>
      <c r="D131" s="1010"/>
      <c r="E131" s="1010"/>
      <c r="F131" s="1011"/>
    </row>
    <row r="132" spans="2:12" ht="30.75" hidden="1" thickBot="1" x14ac:dyDescent="0.3">
      <c r="B132" s="160" t="s">
        <v>129</v>
      </c>
      <c r="C132" s="992" t="s">
        <v>106</v>
      </c>
      <c r="D132" s="993"/>
      <c r="E132" s="993"/>
      <c r="F132" s="994"/>
    </row>
    <row r="133" spans="2:12" ht="17.25" hidden="1" customHeight="1" thickBot="1" x14ac:dyDescent="0.3">
      <c r="B133" s="62" t="s">
        <v>17</v>
      </c>
      <c r="C133" s="983" t="s">
        <v>106</v>
      </c>
      <c r="D133" s="984"/>
      <c r="E133" s="984"/>
      <c r="F133" s="985"/>
    </row>
    <row r="134" spans="2:12" ht="15.75" hidden="1" thickBot="1" x14ac:dyDescent="0.3">
      <c r="B134" s="62" t="s">
        <v>18</v>
      </c>
      <c r="C134" s="995" t="s">
        <v>106</v>
      </c>
      <c r="D134" s="996"/>
      <c r="E134" s="996"/>
      <c r="F134" s="997"/>
    </row>
    <row r="135" spans="2:12" ht="12.75" hidden="1" customHeight="1" x14ac:dyDescent="0.25">
      <c r="B135" s="998"/>
      <c r="C135" s="63">
        <v>2018</v>
      </c>
      <c r="D135" s="63">
        <v>2019</v>
      </c>
      <c r="E135" s="63">
        <v>2020</v>
      </c>
      <c r="F135" s="63">
        <v>2021</v>
      </c>
    </row>
    <row r="136" spans="2:12" ht="9" hidden="1" customHeight="1" thickBot="1" x14ac:dyDescent="0.3">
      <c r="B136" s="999"/>
      <c r="C136" s="64" t="s">
        <v>10</v>
      </c>
      <c r="D136" s="64" t="s">
        <v>11</v>
      </c>
      <c r="E136" s="64" t="s">
        <v>11</v>
      </c>
      <c r="F136" s="64" t="s">
        <v>11</v>
      </c>
    </row>
    <row r="137" spans="2:12" ht="15.75" hidden="1" thickBot="1" x14ac:dyDescent="0.3">
      <c r="B137" s="62" t="s">
        <v>19</v>
      </c>
      <c r="C137" s="161"/>
      <c r="D137" s="161"/>
      <c r="E137" s="161"/>
      <c r="F137" s="161"/>
    </row>
    <row r="138" spans="2:12" ht="15.75" hidden="1" thickBot="1" x14ac:dyDescent="0.3">
      <c r="B138" s="62" t="s">
        <v>20</v>
      </c>
      <c r="C138" s="161"/>
      <c r="D138" s="161"/>
      <c r="E138" s="161"/>
      <c r="F138" s="161"/>
    </row>
    <row r="139" spans="2:12" ht="15.75" hidden="1" thickBot="1" x14ac:dyDescent="0.3">
      <c r="B139" s="62" t="s">
        <v>21</v>
      </c>
      <c r="C139" s="161" t="e">
        <f>C138/C137</f>
        <v>#DIV/0!</v>
      </c>
      <c r="D139" s="161" t="e">
        <f t="shared" ref="D139:F139" si="14">D138/D137</f>
        <v>#DIV/0!</v>
      </c>
      <c r="E139" s="161" t="e">
        <f t="shared" si="14"/>
        <v>#DIV/0!</v>
      </c>
      <c r="F139" s="161" t="e">
        <f t="shared" si="14"/>
        <v>#DIV/0!</v>
      </c>
    </row>
    <row r="140" spans="2:12" ht="15.75" hidden="1" thickBot="1" x14ac:dyDescent="0.3">
      <c r="B140" s="62" t="s">
        <v>22</v>
      </c>
      <c r="C140" s="150" t="s">
        <v>23</v>
      </c>
      <c r="D140" s="162" t="e">
        <f>D137/C137-1</f>
        <v>#DIV/0!</v>
      </c>
      <c r="E140" s="162" t="e">
        <f t="shared" ref="E140:F142" si="15">E137/D137-1</f>
        <v>#DIV/0!</v>
      </c>
      <c r="F140" s="162" t="e">
        <f t="shared" si="15"/>
        <v>#DIV/0!</v>
      </c>
      <c r="H140" s="163"/>
      <c r="I140" s="163"/>
      <c r="J140" s="163"/>
      <c r="K140" s="163"/>
      <c r="L140" s="163"/>
    </row>
    <row r="141" spans="2:12" ht="15.75" hidden="1" thickBot="1" x14ac:dyDescent="0.3">
      <c r="B141" s="62" t="s">
        <v>24</v>
      </c>
      <c r="C141" s="150" t="s">
        <v>23</v>
      </c>
      <c r="D141" s="162" t="e">
        <f>D138/C138-1</f>
        <v>#DIV/0!</v>
      </c>
      <c r="E141" s="162" t="e">
        <f t="shared" si="15"/>
        <v>#DIV/0!</v>
      </c>
      <c r="F141" s="162" t="e">
        <f t="shared" si="15"/>
        <v>#DIV/0!</v>
      </c>
    </row>
    <row r="142" spans="2:12" ht="15.75" hidden="1" thickBot="1" x14ac:dyDescent="0.3">
      <c r="B142" s="62" t="s">
        <v>25</v>
      </c>
      <c r="C142" s="150" t="s">
        <v>23</v>
      </c>
      <c r="D142" s="162" t="e">
        <f>D139/C139-1</f>
        <v>#DIV/0!</v>
      </c>
      <c r="E142" s="162" t="e">
        <f t="shared" si="15"/>
        <v>#DIV/0!</v>
      </c>
      <c r="F142" s="162" t="e">
        <f t="shared" si="15"/>
        <v>#DIV/0!</v>
      </c>
    </row>
    <row r="143" spans="2:12" ht="15.75" hidden="1" thickBot="1" x14ac:dyDescent="0.3">
      <c r="B143" s="1000" t="s">
        <v>793</v>
      </c>
      <c r="C143" s="1001"/>
      <c r="D143" s="1001"/>
      <c r="E143" s="1001"/>
      <c r="F143" s="1002"/>
    </row>
    <row r="144" spans="2:12" ht="12.75" hidden="1" customHeight="1" x14ac:dyDescent="0.25">
      <c r="B144" s="998"/>
      <c r="C144" s="63">
        <v>2018</v>
      </c>
      <c r="D144" s="63">
        <v>2019</v>
      </c>
      <c r="E144" s="63">
        <v>2020</v>
      </c>
      <c r="F144" s="63">
        <v>2021</v>
      </c>
    </row>
    <row r="145" spans="2:6" ht="9" hidden="1" customHeight="1" thickBot="1" x14ac:dyDescent="0.3">
      <c r="B145" s="999"/>
      <c r="C145" s="64" t="s">
        <v>10</v>
      </c>
      <c r="D145" s="64" t="s">
        <v>11</v>
      </c>
      <c r="E145" s="64" t="s">
        <v>11</v>
      </c>
      <c r="F145" s="64" t="s">
        <v>11</v>
      </c>
    </row>
    <row r="146" spans="2:6" ht="15.75" hidden="1" thickBot="1" x14ac:dyDescent="0.3">
      <c r="B146" s="65" t="s">
        <v>58</v>
      </c>
      <c r="C146" s="164"/>
      <c r="D146" s="164"/>
      <c r="E146" s="164"/>
      <c r="F146" s="164"/>
    </row>
    <row r="147" spans="2:6" ht="15.75" hidden="1" thickBot="1" x14ac:dyDescent="0.3">
      <c r="B147" s="65" t="s">
        <v>59</v>
      </c>
      <c r="C147" s="165"/>
      <c r="D147" s="164"/>
      <c r="E147" s="164"/>
      <c r="F147" s="164"/>
    </row>
    <row r="148" spans="2:6" ht="15.75" hidden="1" thickBot="1" x14ac:dyDescent="0.3">
      <c r="B148" s="66" t="s">
        <v>74</v>
      </c>
      <c r="C148" s="165">
        <f>C147+C146</f>
        <v>0</v>
      </c>
      <c r="D148" s="165">
        <f t="shared" ref="D148:F148" si="16">D147+D146</f>
        <v>0</v>
      </c>
      <c r="E148" s="165">
        <f t="shared" si="16"/>
        <v>0</v>
      </c>
      <c r="F148" s="165">
        <f t="shared" si="16"/>
        <v>0</v>
      </c>
    </row>
    <row r="149" spans="2:6" ht="15.75" hidden="1" customHeight="1" thickBot="1" x14ac:dyDescent="0.3">
      <c r="B149" s="154" t="s">
        <v>67</v>
      </c>
      <c r="C149" s="992" t="s">
        <v>106</v>
      </c>
      <c r="D149" s="993"/>
      <c r="E149" s="993"/>
      <c r="F149" s="994"/>
    </row>
    <row r="150" spans="2:6" ht="15.75" hidden="1" customHeight="1" thickBot="1" x14ac:dyDescent="0.3">
      <c r="B150" s="983" t="s">
        <v>68</v>
      </c>
      <c r="C150" s="984"/>
      <c r="D150" s="984"/>
      <c r="E150" s="984"/>
      <c r="F150" s="985"/>
    </row>
    <row r="151" spans="2:6" ht="15.75" hidden="1" thickBot="1" x14ac:dyDescent="0.3">
      <c r="B151" s="151" t="s">
        <v>211</v>
      </c>
      <c r="C151" s="157" t="s">
        <v>116</v>
      </c>
      <c r="D151" s="157" t="s">
        <v>117</v>
      </c>
      <c r="E151" s="157" t="s">
        <v>117</v>
      </c>
      <c r="F151" s="157" t="s">
        <v>117</v>
      </c>
    </row>
    <row r="152" spans="2:6" ht="15.75" hidden="1" customHeight="1" thickBot="1" x14ac:dyDescent="0.3">
      <c r="B152" s="62" t="s">
        <v>212</v>
      </c>
      <c r="C152" s="157" t="s">
        <v>116</v>
      </c>
      <c r="D152" s="157" t="s">
        <v>117</v>
      </c>
      <c r="E152" s="157" t="s">
        <v>117</v>
      </c>
      <c r="F152" s="157" t="s">
        <v>117</v>
      </c>
    </row>
    <row r="153" spans="2:6" ht="23.25" hidden="1" customHeight="1" thickBot="1" x14ac:dyDescent="0.3">
      <c r="B153" s="62" t="s">
        <v>115</v>
      </c>
      <c r="C153" s="157" t="s">
        <v>116</v>
      </c>
      <c r="D153" s="157" t="s">
        <v>117</v>
      </c>
      <c r="E153" s="157" t="s">
        <v>117</v>
      </c>
      <c r="F153" s="157" t="s">
        <v>117</v>
      </c>
    </row>
    <row r="154" spans="2:6" ht="23.25" hidden="1" customHeight="1" thickBot="1" x14ac:dyDescent="0.3">
      <c r="B154" s="1027" t="s">
        <v>69</v>
      </c>
      <c r="C154" s="1028"/>
      <c r="D154" s="1028"/>
      <c r="E154" s="1028"/>
      <c r="F154" s="1029"/>
    </row>
    <row r="155" spans="2:6" ht="23.25" hidden="1" customHeight="1" thickBot="1" x14ac:dyDescent="0.3">
      <c r="B155" s="1030" t="s">
        <v>70</v>
      </c>
      <c r="C155" s="1031"/>
      <c r="D155" s="1031"/>
      <c r="E155" s="1031"/>
      <c r="F155" s="1032"/>
    </row>
    <row r="156" spans="2:6" ht="12.75" hidden="1" customHeight="1" x14ac:dyDescent="0.25">
      <c r="B156" s="998"/>
      <c r="C156" s="63">
        <v>2018</v>
      </c>
      <c r="D156" s="63">
        <v>2019</v>
      </c>
      <c r="E156" s="63">
        <v>2020</v>
      </c>
      <c r="F156" s="63">
        <v>2021</v>
      </c>
    </row>
    <row r="157" spans="2:6" ht="9" hidden="1" customHeight="1" thickBot="1" x14ac:dyDescent="0.3">
      <c r="B157" s="999"/>
      <c r="C157" s="64" t="s">
        <v>10</v>
      </c>
      <c r="D157" s="64" t="s">
        <v>11</v>
      </c>
      <c r="E157" s="64" t="s">
        <v>11</v>
      </c>
      <c r="F157" s="64" t="s">
        <v>11</v>
      </c>
    </row>
    <row r="158" spans="2:6" ht="26.25" hidden="1" customHeight="1" thickBot="1" x14ac:dyDescent="0.3">
      <c r="B158" s="160" t="s">
        <v>16</v>
      </c>
      <c r="C158" s="992" t="s">
        <v>106</v>
      </c>
      <c r="D158" s="993"/>
      <c r="E158" s="993"/>
      <c r="F158" s="994"/>
    </row>
    <row r="159" spans="2:6" ht="16.5" hidden="1" customHeight="1" thickBot="1" x14ac:dyDescent="0.3">
      <c r="B159" s="62" t="s">
        <v>17</v>
      </c>
      <c r="C159" s="983" t="s">
        <v>106</v>
      </c>
      <c r="D159" s="984"/>
      <c r="E159" s="984"/>
      <c r="F159" s="985"/>
    </row>
    <row r="160" spans="2:6" ht="15.75" hidden="1" customHeight="1" thickBot="1" x14ac:dyDescent="0.3">
      <c r="B160" s="62" t="s">
        <v>18</v>
      </c>
      <c r="C160" s="995" t="s">
        <v>106</v>
      </c>
      <c r="D160" s="996"/>
      <c r="E160" s="996"/>
      <c r="F160" s="997"/>
    </row>
    <row r="161" spans="2:6" ht="12.75" hidden="1" customHeight="1" x14ac:dyDescent="0.25">
      <c r="B161" s="998"/>
      <c r="C161" s="63">
        <v>2018</v>
      </c>
      <c r="D161" s="63">
        <v>2019</v>
      </c>
      <c r="E161" s="63">
        <v>2020</v>
      </c>
      <c r="F161" s="63">
        <v>2021</v>
      </c>
    </row>
    <row r="162" spans="2:6" ht="9" hidden="1" customHeight="1" thickBot="1" x14ac:dyDescent="0.3">
      <c r="B162" s="999"/>
      <c r="C162" s="64" t="s">
        <v>10</v>
      </c>
      <c r="D162" s="64" t="s">
        <v>11</v>
      </c>
      <c r="E162" s="64" t="s">
        <v>11</v>
      </c>
      <c r="F162" s="64" t="s">
        <v>11</v>
      </c>
    </row>
    <row r="163" spans="2:6" ht="15.75" hidden="1" customHeight="1" thickBot="1" x14ac:dyDescent="0.3">
      <c r="B163" s="62" t="s">
        <v>19</v>
      </c>
      <c r="C163" s="161"/>
      <c r="D163" s="203"/>
      <c r="E163" s="203"/>
      <c r="F163" s="203"/>
    </row>
    <row r="164" spans="2:6" ht="15.75" hidden="1" thickBot="1" x14ac:dyDescent="0.3">
      <c r="B164" s="62" t="s">
        <v>20</v>
      </c>
      <c r="C164" s="161"/>
      <c r="D164" s="161"/>
      <c r="E164" s="161"/>
      <c r="F164" s="161"/>
    </row>
    <row r="165" spans="2:6" ht="15.75" hidden="1" thickBot="1" x14ac:dyDescent="0.3">
      <c r="B165" s="62" t="s">
        <v>21</v>
      </c>
      <c r="C165" s="161" t="e">
        <f>C164/C163</f>
        <v>#DIV/0!</v>
      </c>
      <c r="D165" s="161" t="e">
        <f t="shared" ref="D165:F165" si="17">D164/D163</f>
        <v>#DIV/0!</v>
      </c>
      <c r="E165" s="161" t="e">
        <f t="shared" si="17"/>
        <v>#DIV/0!</v>
      </c>
      <c r="F165" s="161" t="e">
        <f t="shared" si="17"/>
        <v>#DIV/0!</v>
      </c>
    </row>
    <row r="166" spans="2:6" ht="15.75" hidden="1" thickBot="1" x14ac:dyDescent="0.3">
      <c r="B166" s="62" t="s">
        <v>22</v>
      </c>
      <c r="C166" s="150"/>
      <c r="D166" s="162" t="e">
        <f>D163/C163-1</f>
        <v>#DIV/0!</v>
      </c>
      <c r="E166" s="162" t="e">
        <f t="shared" ref="E166:F168" si="18">E163/D163-1</f>
        <v>#DIV/0!</v>
      </c>
      <c r="F166" s="162" t="e">
        <f t="shared" si="18"/>
        <v>#DIV/0!</v>
      </c>
    </row>
    <row r="167" spans="2:6" ht="15.75" hidden="1" thickBot="1" x14ac:dyDescent="0.3">
      <c r="B167" s="62" t="s">
        <v>24</v>
      </c>
      <c r="C167" s="150"/>
      <c r="D167" s="162" t="e">
        <f>D164/C164-1</f>
        <v>#DIV/0!</v>
      </c>
      <c r="E167" s="162" t="e">
        <f t="shared" si="18"/>
        <v>#DIV/0!</v>
      </c>
      <c r="F167" s="162" t="e">
        <f t="shared" si="18"/>
        <v>#DIV/0!</v>
      </c>
    </row>
    <row r="168" spans="2:6" ht="15.75" hidden="1" thickBot="1" x14ac:dyDescent="0.3">
      <c r="B168" s="62" t="s">
        <v>25</v>
      </c>
      <c r="C168" s="150"/>
      <c r="D168" s="162" t="e">
        <f>D165/C165-1</f>
        <v>#DIV/0!</v>
      </c>
      <c r="E168" s="162" t="e">
        <f t="shared" si="18"/>
        <v>#DIV/0!</v>
      </c>
      <c r="F168" s="162" t="e">
        <f t="shared" si="18"/>
        <v>#DIV/0!</v>
      </c>
    </row>
    <row r="169" spans="2:6" ht="12.75" hidden="1" customHeight="1" x14ac:dyDescent="0.25">
      <c r="B169" s="998"/>
      <c r="C169" s="63">
        <v>2018</v>
      </c>
      <c r="D169" s="63">
        <v>2019</v>
      </c>
      <c r="E169" s="63">
        <v>2020</v>
      </c>
      <c r="F169" s="63">
        <v>2021</v>
      </c>
    </row>
    <row r="170" spans="2:6" ht="9" hidden="1" customHeight="1" thickBot="1" x14ac:dyDescent="0.3">
      <c r="B170" s="999"/>
      <c r="C170" s="64" t="s">
        <v>10</v>
      </c>
      <c r="D170" s="64" t="s">
        <v>11</v>
      </c>
      <c r="E170" s="64" t="s">
        <v>11</v>
      </c>
      <c r="F170" s="64" t="s">
        <v>11</v>
      </c>
    </row>
    <row r="171" spans="2:6" ht="15.75" hidden="1" thickBot="1" x14ac:dyDescent="0.3">
      <c r="B171" s="1000" t="s">
        <v>794</v>
      </c>
      <c r="C171" s="1001"/>
      <c r="D171" s="1001"/>
      <c r="E171" s="1001"/>
      <c r="F171" s="1002"/>
    </row>
    <row r="172" spans="2:6" ht="12.75" hidden="1" customHeight="1" x14ac:dyDescent="0.25">
      <c r="B172" s="998"/>
      <c r="C172" s="63">
        <v>2018</v>
      </c>
      <c r="D172" s="63">
        <v>2019</v>
      </c>
      <c r="E172" s="63">
        <v>2020</v>
      </c>
      <c r="F172" s="63">
        <v>2021</v>
      </c>
    </row>
    <row r="173" spans="2:6" ht="9" hidden="1" customHeight="1" thickBot="1" x14ac:dyDescent="0.3">
      <c r="B173" s="999"/>
      <c r="C173" s="64" t="s">
        <v>10</v>
      </c>
      <c r="D173" s="64" t="s">
        <v>11</v>
      </c>
      <c r="E173" s="64" t="s">
        <v>11</v>
      </c>
      <c r="F173" s="64" t="s">
        <v>11</v>
      </c>
    </row>
    <row r="174" spans="2:6" ht="15.75" hidden="1" thickBot="1" x14ac:dyDescent="0.3">
      <c r="B174" s="65" t="s">
        <v>26</v>
      </c>
      <c r="C174" s="164"/>
      <c r="D174" s="164"/>
      <c r="E174" s="164"/>
      <c r="F174" s="164"/>
    </row>
    <row r="175" spans="2:6" ht="30.75" hidden="1" thickBot="1" x14ac:dyDescent="0.3">
      <c r="B175" s="65" t="s">
        <v>28</v>
      </c>
      <c r="C175" s="164"/>
      <c r="D175" s="164"/>
      <c r="E175" s="164"/>
      <c r="F175" s="164"/>
    </row>
    <row r="176" spans="2:6" ht="15.75" hidden="1" thickBot="1" x14ac:dyDescent="0.3">
      <c r="B176" s="65" t="s">
        <v>30</v>
      </c>
      <c r="C176" s="165"/>
      <c r="D176" s="164"/>
      <c r="E176" s="164"/>
      <c r="F176" s="164"/>
    </row>
    <row r="177" spans="2:6" ht="15.75" hidden="1" thickBot="1" x14ac:dyDescent="0.3">
      <c r="B177" s="65" t="s">
        <v>32</v>
      </c>
      <c r="C177" s="165"/>
      <c r="D177" s="164"/>
      <c r="E177" s="164"/>
      <c r="F177" s="164"/>
    </row>
    <row r="178" spans="2:6" ht="15.75" hidden="1" thickBot="1" x14ac:dyDescent="0.3">
      <c r="B178" s="65" t="s">
        <v>34</v>
      </c>
      <c r="C178" s="165"/>
      <c r="D178" s="164"/>
      <c r="E178" s="164"/>
      <c r="F178" s="164"/>
    </row>
    <row r="179" spans="2:6" ht="15.75" hidden="1" thickBot="1" x14ac:dyDescent="0.3">
      <c r="B179" s="65" t="s">
        <v>36</v>
      </c>
      <c r="C179" s="165"/>
      <c r="D179" s="164"/>
      <c r="E179" s="164"/>
      <c r="F179" s="164"/>
    </row>
    <row r="180" spans="2:6" ht="30.75" hidden="1" thickBot="1" x14ac:dyDescent="0.3">
      <c r="B180" s="65" t="s">
        <v>38</v>
      </c>
      <c r="C180" s="165"/>
      <c r="D180" s="164"/>
      <c r="E180" s="164"/>
      <c r="F180" s="164"/>
    </row>
    <row r="181" spans="2:6" ht="30.75" hidden="1" thickBot="1" x14ac:dyDescent="0.3">
      <c r="B181" s="204" t="s">
        <v>71</v>
      </c>
      <c r="C181" s="205">
        <f>C180+C179+C178+C177+C176+C175+C174</f>
        <v>0</v>
      </c>
      <c r="D181" s="205">
        <f>D180+D179+D178+D177+D176+D175+D174</f>
        <v>0</v>
      </c>
      <c r="E181" s="205">
        <f>E180+E179+E178+E177+E176+E175+E174</f>
        <v>0</v>
      </c>
      <c r="F181" s="205">
        <f>F180+F179+F178+F177+F176+F175+F174</f>
        <v>0</v>
      </c>
    </row>
    <row r="182" spans="2:6" ht="15.75" hidden="1" thickBot="1" x14ac:dyDescent="0.3">
      <c r="B182" s="166" t="s">
        <v>41</v>
      </c>
      <c r="C182" s="167">
        <f>IF(C181-C164=0,0,"Error")</f>
        <v>0</v>
      </c>
      <c r="D182" s="167">
        <f>IF(D181-D164=0,0,"Error")</f>
        <v>0</v>
      </c>
      <c r="E182" s="167">
        <f>IF(E181-E164=0,0,"Error")</f>
        <v>0</v>
      </c>
      <c r="F182" s="167">
        <f>IF(F181-F164=0,0,"Error")</f>
        <v>0</v>
      </c>
    </row>
    <row r="183" spans="2:6" ht="30.75" hidden="1" thickBot="1" x14ac:dyDescent="0.3">
      <c r="B183" s="195" t="s">
        <v>791</v>
      </c>
      <c r="C183" s="992" t="s">
        <v>106</v>
      </c>
      <c r="D183" s="993"/>
      <c r="E183" s="993"/>
      <c r="F183" s="994"/>
    </row>
    <row r="184" spans="2:6" ht="15.75" hidden="1" thickBot="1" x14ac:dyDescent="0.3">
      <c r="B184" s="62" t="s">
        <v>17</v>
      </c>
      <c r="C184" s="983" t="s">
        <v>106</v>
      </c>
      <c r="D184" s="984"/>
      <c r="E184" s="984"/>
      <c r="F184" s="985"/>
    </row>
    <row r="185" spans="2:6" ht="15.75" hidden="1" thickBot="1" x14ac:dyDescent="0.3">
      <c r="B185" s="62" t="s">
        <v>18</v>
      </c>
      <c r="C185" s="995" t="s">
        <v>106</v>
      </c>
      <c r="D185" s="996"/>
      <c r="E185" s="996"/>
      <c r="F185" s="997"/>
    </row>
    <row r="186" spans="2:6" ht="12.75" hidden="1" customHeight="1" x14ac:dyDescent="0.25">
      <c r="B186" s="998"/>
      <c r="C186" s="63">
        <v>2018</v>
      </c>
      <c r="D186" s="63">
        <v>2019</v>
      </c>
      <c r="E186" s="63">
        <v>2020</v>
      </c>
      <c r="F186" s="63">
        <v>2021</v>
      </c>
    </row>
    <row r="187" spans="2:6" ht="9" hidden="1" customHeight="1" thickBot="1" x14ac:dyDescent="0.3">
      <c r="B187" s="999"/>
      <c r="C187" s="64" t="s">
        <v>10</v>
      </c>
      <c r="D187" s="64" t="s">
        <v>11</v>
      </c>
      <c r="E187" s="64" t="s">
        <v>11</v>
      </c>
      <c r="F187" s="64" t="s">
        <v>11</v>
      </c>
    </row>
    <row r="188" spans="2:6" ht="15.75" hidden="1" thickBot="1" x14ac:dyDescent="0.3">
      <c r="B188" s="62" t="s">
        <v>19</v>
      </c>
      <c r="C188" s="161"/>
      <c r="D188" s="161"/>
      <c r="E188" s="161"/>
      <c r="F188" s="161"/>
    </row>
    <row r="189" spans="2:6" ht="15.75" hidden="1" thickBot="1" x14ac:dyDescent="0.3">
      <c r="B189" s="62" t="s">
        <v>20</v>
      </c>
      <c r="C189" s="161"/>
      <c r="D189" s="161"/>
      <c r="E189" s="161"/>
      <c r="F189" s="161"/>
    </row>
    <row r="190" spans="2:6" ht="15.75" hidden="1" thickBot="1" x14ac:dyDescent="0.3">
      <c r="B190" s="62" t="s">
        <v>21</v>
      </c>
      <c r="C190" s="161" t="e">
        <f>C189/C188</f>
        <v>#DIV/0!</v>
      </c>
      <c r="D190" s="161" t="e">
        <f t="shared" ref="D190:F190" si="19">D189/D188</f>
        <v>#DIV/0!</v>
      </c>
      <c r="E190" s="161" t="e">
        <f t="shared" si="19"/>
        <v>#DIV/0!</v>
      </c>
      <c r="F190" s="161" t="e">
        <f t="shared" si="19"/>
        <v>#DIV/0!</v>
      </c>
    </row>
    <row r="191" spans="2:6" ht="15.75" hidden="1" thickBot="1" x14ac:dyDescent="0.3">
      <c r="B191" s="62" t="s">
        <v>22</v>
      </c>
      <c r="C191" s="150"/>
      <c r="D191" s="162" t="e">
        <f>D188/C188-1</f>
        <v>#DIV/0!</v>
      </c>
      <c r="E191" s="162" t="e">
        <f t="shared" ref="E191:F193" si="20">E188/D188-1</f>
        <v>#DIV/0!</v>
      </c>
      <c r="F191" s="162" t="e">
        <f t="shared" si="20"/>
        <v>#DIV/0!</v>
      </c>
    </row>
    <row r="192" spans="2:6" ht="15.75" hidden="1" thickBot="1" x14ac:dyDescent="0.3">
      <c r="B192" s="62" t="s">
        <v>24</v>
      </c>
      <c r="C192" s="150"/>
      <c r="D192" s="162" t="e">
        <f>D189/C189-1</f>
        <v>#DIV/0!</v>
      </c>
      <c r="E192" s="162" t="e">
        <f t="shared" si="20"/>
        <v>#DIV/0!</v>
      </c>
      <c r="F192" s="162" t="e">
        <f t="shared" si="20"/>
        <v>#DIV/0!</v>
      </c>
    </row>
    <row r="193" spans="2:6" ht="15.75" hidden="1" thickBot="1" x14ac:dyDescent="0.3">
      <c r="B193" s="62" t="s">
        <v>25</v>
      </c>
      <c r="C193" s="150"/>
      <c r="D193" s="162" t="e">
        <f>D190/C190-1</f>
        <v>#DIV/0!</v>
      </c>
      <c r="E193" s="162" t="e">
        <f t="shared" si="20"/>
        <v>#DIV/0!</v>
      </c>
      <c r="F193" s="162" t="e">
        <f t="shared" si="20"/>
        <v>#DIV/0!</v>
      </c>
    </row>
    <row r="194" spans="2:6" ht="15.75" hidden="1" thickBot="1" x14ac:dyDescent="0.3">
      <c r="B194" s="1000" t="s">
        <v>793</v>
      </c>
      <c r="C194" s="1001"/>
      <c r="D194" s="1001"/>
      <c r="E194" s="1001"/>
      <c r="F194" s="1002"/>
    </row>
    <row r="195" spans="2:6" ht="12.75" hidden="1" customHeight="1" x14ac:dyDescent="0.25">
      <c r="B195" s="998"/>
      <c r="C195" s="63">
        <v>2018</v>
      </c>
      <c r="D195" s="63">
        <v>2019</v>
      </c>
      <c r="E195" s="63">
        <v>2020</v>
      </c>
      <c r="F195" s="63">
        <v>2021</v>
      </c>
    </row>
    <row r="196" spans="2:6" ht="9" hidden="1" customHeight="1" thickBot="1" x14ac:dyDescent="0.3">
      <c r="B196" s="999"/>
      <c r="C196" s="64" t="s">
        <v>10</v>
      </c>
      <c r="D196" s="64" t="s">
        <v>11</v>
      </c>
      <c r="E196" s="64" t="s">
        <v>11</v>
      </c>
      <c r="F196" s="64" t="s">
        <v>11</v>
      </c>
    </row>
    <row r="197" spans="2:6" ht="15.75" hidden="1" thickBot="1" x14ac:dyDescent="0.3">
      <c r="B197" s="65" t="s">
        <v>26</v>
      </c>
      <c r="C197" s="164"/>
      <c r="D197" s="164"/>
      <c r="E197" s="164"/>
      <c r="F197" s="164"/>
    </row>
    <row r="198" spans="2:6" ht="30.75" hidden="1" thickBot="1" x14ac:dyDescent="0.3">
      <c r="B198" s="65" t="s">
        <v>28</v>
      </c>
      <c r="C198" s="164"/>
      <c r="D198" s="164"/>
      <c r="E198" s="164"/>
      <c r="F198" s="164"/>
    </row>
    <row r="199" spans="2:6" ht="15.75" hidden="1" thickBot="1" x14ac:dyDescent="0.3">
      <c r="B199" s="65" t="s">
        <v>30</v>
      </c>
      <c r="C199" s="165"/>
      <c r="D199" s="164"/>
      <c r="E199" s="164"/>
      <c r="F199" s="164"/>
    </row>
    <row r="200" spans="2:6" ht="15.75" hidden="1" thickBot="1" x14ac:dyDescent="0.3">
      <c r="B200" s="65" t="s">
        <v>32</v>
      </c>
      <c r="C200" s="165"/>
      <c r="D200" s="164"/>
      <c r="E200" s="164"/>
      <c r="F200" s="164"/>
    </row>
    <row r="201" spans="2:6" ht="15.75" hidden="1" thickBot="1" x14ac:dyDescent="0.3">
      <c r="B201" s="65" t="s">
        <v>34</v>
      </c>
      <c r="C201" s="165"/>
      <c r="D201" s="164"/>
      <c r="E201" s="164"/>
      <c r="F201" s="164"/>
    </row>
    <row r="202" spans="2:6" ht="15.75" hidden="1" thickBot="1" x14ac:dyDescent="0.3">
      <c r="B202" s="65" t="s">
        <v>36</v>
      </c>
      <c r="C202" s="165"/>
      <c r="D202" s="164"/>
      <c r="E202" s="164"/>
      <c r="F202" s="164"/>
    </row>
    <row r="203" spans="2:6" ht="30.75" hidden="1" thickBot="1" x14ac:dyDescent="0.3">
      <c r="B203" s="65" t="s">
        <v>38</v>
      </c>
      <c r="C203" s="165"/>
      <c r="D203" s="164"/>
      <c r="E203" s="164"/>
      <c r="F203" s="164"/>
    </row>
    <row r="204" spans="2:6" ht="30.75" hidden="1" thickBot="1" x14ac:dyDescent="0.3">
      <c r="B204" s="204" t="s">
        <v>71</v>
      </c>
      <c r="C204" s="219">
        <f>C203+C201+C202+C200+C199+C198+C197</f>
        <v>0</v>
      </c>
      <c r="D204" s="219">
        <f>D203+D201+D202+D200+D199+D198+D197</f>
        <v>0</v>
      </c>
      <c r="E204" s="219">
        <f>E203+E201+E202+E200+E199+E198+E197</f>
        <v>0</v>
      </c>
      <c r="F204" s="219">
        <f>F203+F201+F202+F200+F199+F198+F197</f>
        <v>0</v>
      </c>
    </row>
    <row r="205" spans="2:6" ht="15.75" hidden="1" thickBot="1" x14ac:dyDescent="0.3">
      <c r="B205" s="166" t="s">
        <v>41</v>
      </c>
      <c r="C205" s="167">
        <f>IF(C204-C189=0,0,"Error")</f>
        <v>0</v>
      </c>
      <c r="D205" s="167">
        <f>IF(D204-D189=0,0,"Error")</f>
        <v>0</v>
      </c>
      <c r="E205" s="167">
        <f>IF(E204-E189=0,0,"Error")</f>
        <v>0</v>
      </c>
      <c r="F205" s="167">
        <f>IF(F204-F189=0,0,"Error")</f>
        <v>0</v>
      </c>
    </row>
    <row r="206" spans="2:6" ht="15.75" hidden="1" thickBot="1" x14ac:dyDescent="0.3">
      <c r="B206" s="989" t="s">
        <v>63</v>
      </c>
      <c r="C206" s="990"/>
      <c r="D206" s="990"/>
      <c r="E206" s="990"/>
      <c r="F206" s="991"/>
    </row>
    <row r="207" spans="2:6" ht="15.75" hidden="1" thickBot="1" x14ac:dyDescent="0.3">
      <c r="B207" s="989" t="s">
        <v>56</v>
      </c>
      <c r="C207" s="990"/>
      <c r="D207" s="990"/>
      <c r="E207" s="990"/>
      <c r="F207" s="991"/>
    </row>
    <row r="208" spans="2:6" ht="15.75" hidden="1" thickBot="1" x14ac:dyDescent="0.3">
      <c r="B208" s="67" t="s">
        <v>61</v>
      </c>
      <c r="C208" s="1009" t="s">
        <v>130</v>
      </c>
      <c r="D208" s="1010"/>
      <c r="E208" s="1010"/>
      <c r="F208" s="1011"/>
    </row>
    <row r="209" spans="2:12" ht="15.75" hidden="1" thickBot="1" x14ac:dyDescent="0.3">
      <c r="B209" s="160" t="s">
        <v>16</v>
      </c>
      <c r="C209" s="992" t="s">
        <v>106</v>
      </c>
      <c r="D209" s="993"/>
      <c r="E209" s="993"/>
      <c r="F209" s="994"/>
    </row>
    <row r="210" spans="2:12" ht="17.25" hidden="1" customHeight="1" thickBot="1" x14ac:dyDescent="0.3">
      <c r="B210" s="62" t="s">
        <v>17</v>
      </c>
      <c r="C210" s="983" t="s">
        <v>106</v>
      </c>
      <c r="D210" s="984"/>
      <c r="E210" s="984"/>
      <c r="F210" s="985"/>
    </row>
    <row r="211" spans="2:12" ht="15.75" hidden="1" thickBot="1" x14ac:dyDescent="0.3">
      <c r="B211" s="62" t="s">
        <v>18</v>
      </c>
      <c r="C211" s="995" t="s">
        <v>106</v>
      </c>
      <c r="D211" s="996"/>
      <c r="E211" s="996"/>
      <c r="F211" s="997"/>
    </row>
    <row r="212" spans="2:12" ht="12.75" hidden="1" customHeight="1" x14ac:dyDescent="0.25">
      <c r="B212" s="998"/>
      <c r="C212" s="63">
        <v>2018</v>
      </c>
      <c r="D212" s="63">
        <v>2019</v>
      </c>
      <c r="E212" s="63">
        <v>2020</v>
      </c>
      <c r="F212" s="63">
        <v>2021</v>
      </c>
    </row>
    <row r="213" spans="2:12" ht="9" hidden="1" customHeight="1" thickBot="1" x14ac:dyDescent="0.3">
      <c r="B213" s="999"/>
      <c r="C213" s="64" t="s">
        <v>10</v>
      </c>
      <c r="D213" s="64" t="s">
        <v>11</v>
      </c>
      <c r="E213" s="64" t="s">
        <v>11</v>
      </c>
      <c r="F213" s="64" t="s">
        <v>11</v>
      </c>
    </row>
    <row r="214" spans="2:12" ht="15.75" hidden="1" thickBot="1" x14ac:dyDescent="0.3">
      <c r="B214" s="62" t="s">
        <v>19</v>
      </c>
      <c r="C214" s="161"/>
      <c r="D214" s="161"/>
      <c r="E214" s="161"/>
      <c r="F214" s="161"/>
    </row>
    <row r="215" spans="2:12" ht="15.75" hidden="1" thickBot="1" x14ac:dyDescent="0.3">
      <c r="B215" s="62" t="s">
        <v>20</v>
      </c>
      <c r="C215" s="161"/>
      <c r="D215" s="161"/>
      <c r="E215" s="161"/>
      <c r="F215" s="161"/>
    </row>
    <row r="216" spans="2:12" ht="15.75" hidden="1" thickBot="1" x14ac:dyDescent="0.3">
      <c r="B216" s="62" t="s">
        <v>21</v>
      </c>
      <c r="C216" s="161" t="e">
        <f>C215/C214</f>
        <v>#DIV/0!</v>
      </c>
      <c r="D216" s="161" t="e">
        <f t="shared" ref="D216:F216" si="21">D215/D214</f>
        <v>#DIV/0!</v>
      </c>
      <c r="E216" s="161" t="e">
        <f t="shared" si="21"/>
        <v>#DIV/0!</v>
      </c>
      <c r="F216" s="161" t="e">
        <f t="shared" si="21"/>
        <v>#DIV/0!</v>
      </c>
    </row>
    <row r="217" spans="2:12" ht="15.75" hidden="1" thickBot="1" x14ac:dyDescent="0.3">
      <c r="B217" s="62" t="s">
        <v>22</v>
      </c>
      <c r="C217" s="150" t="s">
        <v>23</v>
      </c>
      <c r="D217" s="162" t="e">
        <f>D214/C214-1</f>
        <v>#DIV/0!</v>
      </c>
      <c r="E217" s="162" t="e">
        <f t="shared" ref="E217:F219" si="22">E214/D214-1</f>
        <v>#DIV/0!</v>
      </c>
      <c r="F217" s="162" t="e">
        <f t="shared" si="22"/>
        <v>#DIV/0!</v>
      </c>
      <c r="H217" s="163"/>
      <c r="I217" s="163"/>
      <c r="J217" s="163"/>
      <c r="K217" s="163"/>
      <c r="L217" s="163"/>
    </row>
    <row r="218" spans="2:12" ht="15.75" hidden="1" thickBot="1" x14ac:dyDescent="0.3">
      <c r="B218" s="62" t="s">
        <v>24</v>
      </c>
      <c r="C218" s="150" t="s">
        <v>23</v>
      </c>
      <c r="D218" s="162" t="e">
        <f>D215/C215-1</f>
        <v>#DIV/0!</v>
      </c>
      <c r="E218" s="162" t="e">
        <f t="shared" si="22"/>
        <v>#DIV/0!</v>
      </c>
      <c r="F218" s="162" t="e">
        <f t="shared" si="22"/>
        <v>#DIV/0!</v>
      </c>
    </row>
    <row r="219" spans="2:12" ht="15.75" hidden="1" thickBot="1" x14ac:dyDescent="0.3">
      <c r="B219" s="62" t="s">
        <v>25</v>
      </c>
      <c r="C219" s="150" t="s">
        <v>23</v>
      </c>
      <c r="D219" s="162" t="e">
        <f>D216/C216-1</f>
        <v>#DIV/0!</v>
      </c>
      <c r="E219" s="162" t="e">
        <f t="shared" si="22"/>
        <v>#DIV/0!</v>
      </c>
      <c r="F219" s="162" t="e">
        <f t="shared" si="22"/>
        <v>#DIV/0!</v>
      </c>
    </row>
    <row r="220" spans="2:12" ht="15.75" hidden="1" thickBot="1" x14ac:dyDescent="0.3">
      <c r="B220" s="1000" t="s">
        <v>784</v>
      </c>
      <c r="C220" s="1001"/>
      <c r="D220" s="1001"/>
      <c r="E220" s="1001"/>
      <c r="F220" s="1002"/>
    </row>
    <row r="221" spans="2:12" ht="12.75" hidden="1" customHeight="1" x14ac:dyDescent="0.25">
      <c r="B221" s="998"/>
      <c r="C221" s="63">
        <v>2018</v>
      </c>
      <c r="D221" s="63">
        <v>2019</v>
      </c>
      <c r="E221" s="63">
        <v>2020</v>
      </c>
      <c r="F221" s="63">
        <v>2021</v>
      </c>
    </row>
    <row r="222" spans="2:12" ht="9" hidden="1" customHeight="1" thickBot="1" x14ac:dyDescent="0.3">
      <c r="B222" s="999"/>
      <c r="C222" s="64" t="s">
        <v>10</v>
      </c>
      <c r="D222" s="64" t="s">
        <v>11</v>
      </c>
      <c r="E222" s="64" t="s">
        <v>11</v>
      </c>
      <c r="F222" s="64" t="s">
        <v>11</v>
      </c>
    </row>
    <row r="223" spans="2:12" ht="15.75" hidden="1" thickBot="1" x14ac:dyDescent="0.3">
      <c r="B223" s="65" t="s">
        <v>58</v>
      </c>
      <c r="C223" s="164"/>
      <c r="D223" s="164"/>
      <c r="E223" s="164"/>
      <c r="F223" s="164"/>
    </row>
    <row r="224" spans="2:12" ht="15.75" hidden="1" thickBot="1" x14ac:dyDescent="0.3">
      <c r="B224" s="65" t="s">
        <v>59</v>
      </c>
      <c r="C224" s="165"/>
      <c r="D224" s="164"/>
      <c r="E224" s="164"/>
      <c r="F224" s="164"/>
    </row>
    <row r="225" spans="2:12" ht="15.75" hidden="1" thickBot="1" x14ac:dyDescent="0.3">
      <c r="B225" s="66" t="s">
        <v>40</v>
      </c>
      <c r="C225" s="165">
        <f>C224+C223</f>
        <v>0</v>
      </c>
      <c r="D225" s="165">
        <f t="shared" ref="D225:F225" si="23">D224+D223</f>
        <v>0</v>
      </c>
      <c r="E225" s="165">
        <f t="shared" si="23"/>
        <v>0</v>
      </c>
      <c r="F225" s="165">
        <f t="shared" si="23"/>
        <v>0</v>
      </c>
    </row>
    <row r="226" spans="2:12" ht="15.75" hidden="1" thickBot="1" x14ac:dyDescent="0.3">
      <c r="B226" s="67" t="s">
        <v>61</v>
      </c>
      <c r="C226" s="1009" t="s">
        <v>130</v>
      </c>
      <c r="D226" s="1010"/>
      <c r="E226" s="1010"/>
      <c r="F226" s="1011"/>
    </row>
    <row r="227" spans="2:12" ht="30.75" hidden="1" thickBot="1" x14ac:dyDescent="0.3">
      <c r="B227" s="160" t="s">
        <v>129</v>
      </c>
      <c r="C227" s="992" t="s">
        <v>106</v>
      </c>
      <c r="D227" s="993"/>
      <c r="E227" s="993"/>
      <c r="F227" s="994"/>
    </row>
    <row r="228" spans="2:12" ht="17.25" hidden="1" customHeight="1" thickBot="1" x14ac:dyDescent="0.3">
      <c r="B228" s="62" t="s">
        <v>17</v>
      </c>
      <c r="C228" s="983" t="s">
        <v>106</v>
      </c>
      <c r="D228" s="984"/>
      <c r="E228" s="984"/>
      <c r="F228" s="985"/>
    </row>
    <row r="229" spans="2:12" ht="15.75" hidden="1" thickBot="1" x14ac:dyDescent="0.3">
      <c r="B229" s="62" t="s">
        <v>18</v>
      </c>
      <c r="C229" s="995" t="s">
        <v>106</v>
      </c>
      <c r="D229" s="996"/>
      <c r="E229" s="996"/>
      <c r="F229" s="997"/>
    </row>
    <row r="230" spans="2:12" ht="12.75" hidden="1" customHeight="1" x14ac:dyDescent="0.25">
      <c r="B230" s="998"/>
      <c r="C230" s="63">
        <v>2018</v>
      </c>
      <c r="D230" s="63">
        <v>2019</v>
      </c>
      <c r="E230" s="63">
        <v>2020</v>
      </c>
      <c r="F230" s="63">
        <v>2021</v>
      </c>
    </row>
    <row r="231" spans="2:12" ht="9" hidden="1" customHeight="1" thickBot="1" x14ac:dyDescent="0.3">
      <c r="B231" s="999"/>
      <c r="C231" s="64" t="s">
        <v>10</v>
      </c>
      <c r="D231" s="64" t="s">
        <v>11</v>
      </c>
      <c r="E231" s="64" t="s">
        <v>11</v>
      </c>
      <c r="F231" s="64" t="s">
        <v>11</v>
      </c>
    </row>
    <row r="232" spans="2:12" ht="15.75" hidden="1" thickBot="1" x14ac:dyDescent="0.3">
      <c r="B232" s="62" t="s">
        <v>19</v>
      </c>
      <c r="C232" s="161"/>
      <c r="D232" s="161"/>
      <c r="E232" s="161"/>
      <c r="F232" s="161"/>
    </row>
    <row r="233" spans="2:12" ht="15.75" hidden="1" thickBot="1" x14ac:dyDescent="0.3">
      <c r="B233" s="62" t="s">
        <v>20</v>
      </c>
      <c r="C233" s="161"/>
      <c r="D233" s="161"/>
      <c r="E233" s="161"/>
      <c r="F233" s="161"/>
    </row>
    <row r="234" spans="2:12" ht="15.75" hidden="1" thickBot="1" x14ac:dyDescent="0.3">
      <c r="B234" s="62" t="s">
        <v>21</v>
      </c>
      <c r="C234" s="161" t="e">
        <f>C233/C232</f>
        <v>#DIV/0!</v>
      </c>
      <c r="D234" s="161" t="e">
        <f t="shared" ref="D234:F234" si="24">D233/D232</f>
        <v>#DIV/0!</v>
      </c>
      <c r="E234" s="161" t="e">
        <f t="shared" si="24"/>
        <v>#DIV/0!</v>
      </c>
      <c r="F234" s="161" t="e">
        <f t="shared" si="24"/>
        <v>#DIV/0!</v>
      </c>
    </row>
    <row r="235" spans="2:12" ht="15.75" hidden="1" thickBot="1" x14ac:dyDescent="0.3">
      <c r="B235" s="62" t="s">
        <v>22</v>
      </c>
      <c r="C235" s="150" t="s">
        <v>23</v>
      </c>
      <c r="D235" s="162" t="e">
        <f>D232/C232-1</f>
        <v>#DIV/0!</v>
      </c>
      <c r="E235" s="162" t="e">
        <f t="shared" ref="E235:F237" si="25">E232/D232-1</f>
        <v>#DIV/0!</v>
      </c>
      <c r="F235" s="162" t="e">
        <f t="shared" si="25"/>
        <v>#DIV/0!</v>
      </c>
      <c r="H235" s="163"/>
      <c r="I235" s="163"/>
      <c r="J235" s="163"/>
      <c r="K235" s="163"/>
      <c r="L235" s="163"/>
    </row>
    <row r="236" spans="2:12" ht="15.75" hidden="1" thickBot="1" x14ac:dyDescent="0.3">
      <c r="B236" s="62" t="s">
        <v>24</v>
      </c>
      <c r="C236" s="150" t="s">
        <v>23</v>
      </c>
      <c r="D236" s="162" t="e">
        <f>D233/C233-1</f>
        <v>#DIV/0!</v>
      </c>
      <c r="E236" s="162" t="e">
        <f t="shared" si="25"/>
        <v>#DIV/0!</v>
      </c>
      <c r="F236" s="162" t="e">
        <f t="shared" si="25"/>
        <v>#DIV/0!</v>
      </c>
    </row>
    <row r="237" spans="2:12" ht="15.75" hidden="1" thickBot="1" x14ac:dyDescent="0.3">
      <c r="B237" s="62" t="s">
        <v>25</v>
      </c>
      <c r="C237" s="150" t="s">
        <v>23</v>
      </c>
      <c r="D237" s="162" t="e">
        <f>D234/C234-1</f>
        <v>#DIV/0!</v>
      </c>
      <c r="E237" s="162" t="e">
        <f t="shared" si="25"/>
        <v>#DIV/0!</v>
      </c>
      <c r="F237" s="162" t="e">
        <f t="shared" si="25"/>
        <v>#DIV/0!</v>
      </c>
    </row>
    <row r="238" spans="2:12" ht="15.75" hidden="1" thickBot="1" x14ac:dyDescent="0.3">
      <c r="B238" s="1000" t="s">
        <v>793</v>
      </c>
      <c r="C238" s="1001"/>
      <c r="D238" s="1001"/>
      <c r="E238" s="1001"/>
      <c r="F238" s="1002"/>
    </row>
    <row r="239" spans="2:12" ht="12.75" hidden="1" customHeight="1" x14ac:dyDescent="0.25">
      <c r="B239" s="998"/>
      <c r="C239" s="63">
        <v>2018</v>
      </c>
      <c r="D239" s="63">
        <v>2019</v>
      </c>
      <c r="E239" s="63">
        <v>2020</v>
      </c>
      <c r="F239" s="63">
        <v>2021</v>
      </c>
    </row>
    <row r="240" spans="2:12" ht="9" hidden="1" customHeight="1" thickBot="1" x14ac:dyDescent="0.3">
      <c r="B240" s="999"/>
      <c r="C240" s="64" t="s">
        <v>10</v>
      </c>
      <c r="D240" s="64" t="s">
        <v>11</v>
      </c>
      <c r="E240" s="64" t="s">
        <v>11</v>
      </c>
      <c r="F240" s="64" t="s">
        <v>11</v>
      </c>
    </row>
    <row r="241" spans="2:12" ht="15.75" hidden="1" thickBot="1" x14ac:dyDescent="0.3">
      <c r="B241" s="65" t="s">
        <v>58</v>
      </c>
      <c r="C241" s="164"/>
      <c r="D241" s="164"/>
      <c r="E241" s="164"/>
      <c r="F241" s="164"/>
    </row>
    <row r="242" spans="2:12" ht="15.75" hidden="1" thickBot="1" x14ac:dyDescent="0.3">
      <c r="B242" s="65" t="s">
        <v>59</v>
      </c>
      <c r="C242" s="165"/>
      <c r="D242" s="164"/>
      <c r="E242" s="164"/>
      <c r="F242" s="164"/>
    </row>
    <row r="243" spans="2:12" ht="15.75" hidden="1" thickBot="1" x14ac:dyDescent="0.3">
      <c r="B243" s="66" t="s">
        <v>74</v>
      </c>
      <c r="C243" s="165">
        <f>C242+C241</f>
        <v>0</v>
      </c>
      <c r="D243" s="165">
        <f t="shared" ref="D243:F243" si="26">D242+D241</f>
        <v>0</v>
      </c>
      <c r="E243" s="165">
        <f t="shared" si="26"/>
        <v>0</v>
      </c>
      <c r="F243" s="165">
        <f t="shared" si="26"/>
        <v>0</v>
      </c>
    </row>
    <row r="244" spans="2:12" ht="15.75" hidden="1" thickBot="1" x14ac:dyDescent="0.3">
      <c r="B244" s="989" t="s">
        <v>63</v>
      </c>
      <c r="C244" s="990"/>
      <c r="D244" s="990"/>
      <c r="E244" s="990"/>
      <c r="F244" s="991"/>
    </row>
    <row r="245" spans="2:12" ht="15.75" hidden="1" thickBot="1" x14ac:dyDescent="0.3">
      <c r="B245" s="989" t="s">
        <v>64</v>
      </c>
      <c r="C245" s="990"/>
      <c r="D245" s="990"/>
      <c r="E245" s="990"/>
      <c r="F245" s="991"/>
    </row>
    <row r="246" spans="2:12" ht="15.75" hidden="1" thickBot="1" x14ac:dyDescent="0.3">
      <c r="B246" s="67" t="s">
        <v>61</v>
      </c>
      <c r="C246" s="1009" t="s">
        <v>130</v>
      </c>
      <c r="D246" s="1010"/>
      <c r="E246" s="1010"/>
      <c r="F246" s="1011"/>
    </row>
    <row r="247" spans="2:12" ht="15.75" hidden="1" thickBot="1" x14ac:dyDescent="0.3">
      <c r="B247" s="160" t="s">
        <v>16</v>
      </c>
      <c r="C247" s="992" t="s">
        <v>106</v>
      </c>
      <c r="D247" s="993"/>
      <c r="E247" s="993"/>
      <c r="F247" s="994"/>
    </row>
    <row r="248" spans="2:12" ht="17.25" hidden="1" customHeight="1" thickBot="1" x14ac:dyDescent="0.3">
      <c r="B248" s="62" t="s">
        <v>17</v>
      </c>
      <c r="C248" s="983" t="s">
        <v>106</v>
      </c>
      <c r="D248" s="984"/>
      <c r="E248" s="984"/>
      <c r="F248" s="985"/>
    </row>
    <row r="249" spans="2:12" ht="15.75" hidden="1" thickBot="1" x14ac:dyDescent="0.3">
      <c r="B249" s="62" t="s">
        <v>18</v>
      </c>
      <c r="C249" s="995" t="s">
        <v>106</v>
      </c>
      <c r="D249" s="996"/>
      <c r="E249" s="996"/>
      <c r="F249" s="997"/>
    </row>
    <row r="250" spans="2:12" ht="12.75" hidden="1" customHeight="1" x14ac:dyDescent="0.25">
      <c r="B250" s="998"/>
      <c r="C250" s="63">
        <v>2018</v>
      </c>
      <c r="D250" s="63">
        <v>2019</v>
      </c>
      <c r="E250" s="63">
        <v>2020</v>
      </c>
      <c r="F250" s="63">
        <v>2021</v>
      </c>
    </row>
    <row r="251" spans="2:12" ht="9" hidden="1" customHeight="1" thickBot="1" x14ac:dyDescent="0.3">
      <c r="B251" s="999"/>
      <c r="C251" s="64" t="s">
        <v>10</v>
      </c>
      <c r="D251" s="64" t="s">
        <v>11</v>
      </c>
      <c r="E251" s="64" t="s">
        <v>11</v>
      </c>
      <c r="F251" s="64" t="s">
        <v>11</v>
      </c>
    </row>
    <row r="252" spans="2:12" ht="15.75" hidden="1" thickBot="1" x14ac:dyDescent="0.3">
      <c r="B252" s="62" t="s">
        <v>19</v>
      </c>
      <c r="C252" s="161"/>
      <c r="D252" s="161"/>
      <c r="E252" s="161"/>
      <c r="F252" s="161"/>
    </row>
    <row r="253" spans="2:12" ht="15.75" hidden="1" thickBot="1" x14ac:dyDescent="0.3">
      <c r="B253" s="62" t="s">
        <v>20</v>
      </c>
      <c r="C253" s="161"/>
      <c r="D253" s="161"/>
      <c r="E253" s="161"/>
      <c r="F253" s="161"/>
    </row>
    <row r="254" spans="2:12" ht="15.75" hidden="1" thickBot="1" x14ac:dyDescent="0.3">
      <c r="B254" s="62" t="s">
        <v>21</v>
      </c>
      <c r="C254" s="161" t="e">
        <f>C253/C252</f>
        <v>#DIV/0!</v>
      </c>
      <c r="D254" s="161" t="e">
        <f t="shared" ref="D254:F254" si="27">D253/D252</f>
        <v>#DIV/0!</v>
      </c>
      <c r="E254" s="161" t="e">
        <f t="shared" si="27"/>
        <v>#DIV/0!</v>
      </c>
      <c r="F254" s="161" t="e">
        <f t="shared" si="27"/>
        <v>#DIV/0!</v>
      </c>
    </row>
    <row r="255" spans="2:12" ht="15.75" hidden="1" thickBot="1" x14ac:dyDescent="0.3">
      <c r="B255" s="62" t="s">
        <v>22</v>
      </c>
      <c r="C255" s="150" t="s">
        <v>23</v>
      </c>
      <c r="D255" s="162" t="e">
        <f>D252/C252-1</f>
        <v>#DIV/0!</v>
      </c>
      <c r="E255" s="162" t="e">
        <f t="shared" ref="E255:F257" si="28">E252/D252-1</f>
        <v>#DIV/0!</v>
      </c>
      <c r="F255" s="162" t="e">
        <f t="shared" si="28"/>
        <v>#DIV/0!</v>
      </c>
      <c r="H255" s="163"/>
      <c r="I255" s="163"/>
      <c r="J255" s="163"/>
      <c r="K255" s="163"/>
      <c r="L255" s="163"/>
    </row>
    <row r="256" spans="2:12" ht="15.75" hidden="1" thickBot="1" x14ac:dyDescent="0.3">
      <c r="B256" s="62" t="s">
        <v>24</v>
      </c>
      <c r="C256" s="150" t="s">
        <v>23</v>
      </c>
      <c r="D256" s="162" t="e">
        <f>D253/C253-1</f>
        <v>#DIV/0!</v>
      </c>
      <c r="E256" s="162" t="e">
        <f t="shared" si="28"/>
        <v>#DIV/0!</v>
      </c>
      <c r="F256" s="162" t="e">
        <f t="shared" si="28"/>
        <v>#DIV/0!</v>
      </c>
    </row>
    <row r="257" spans="2:6" ht="15.75" hidden="1" thickBot="1" x14ac:dyDescent="0.3">
      <c r="B257" s="62" t="s">
        <v>25</v>
      </c>
      <c r="C257" s="150" t="s">
        <v>23</v>
      </c>
      <c r="D257" s="162" t="e">
        <f>D254/C254-1</f>
        <v>#DIV/0!</v>
      </c>
      <c r="E257" s="162" t="e">
        <f t="shared" si="28"/>
        <v>#DIV/0!</v>
      </c>
      <c r="F257" s="162" t="e">
        <f t="shared" si="28"/>
        <v>#DIV/0!</v>
      </c>
    </row>
    <row r="258" spans="2:6" ht="15.75" hidden="1" thickBot="1" x14ac:dyDescent="0.3">
      <c r="B258" s="1000" t="s">
        <v>784</v>
      </c>
      <c r="C258" s="1001"/>
      <c r="D258" s="1001"/>
      <c r="E258" s="1001"/>
      <c r="F258" s="1002"/>
    </row>
    <row r="259" spans="2:6" ht="12.75" hidden="1" customHeight="1" x14ac:dyDescent="0.25">
      <c r="B259" s="998"/>
      <c r="C259" s="63">
        <v>2018</v>
      </c>
      <c r="D259" s="63">
        <v>2019</v>
      </c>
      <c r="E259" s="63">
        <v>2020</v>
      </c>
      <c r="F259" s="63">
        <v>2021</v>
      </c>
    </row>
    <row r="260" spans="2:6" ht="9" hidden="1" customHeight="1" thickBot="1" x14ac:dyDescent="0.3">
      <c r="B260" s="999"/>
      <c r="C260" s="64" t="s">
        <v>10</v>
      </c>
      <c r="D260" s="64" t="s">
        <v>11</v>
      </c>
      <c r="E260" s="64" t="s">
        <v>11</v>
      </c>
      <c r="F260" s="64" t="s">
        <v>11</v>
      </c>
    </row>
    <row r="261" spans="2:6" ht="15.75" hidden="1" thickBot="1" x14ac:dyDescent="0.3">
      <c r="B261" s="65" t="s">
        <v>58</v>
      </c>
      <c r="C261" s="164"/>
      <c r="D261" s="164"/>
      <c r="E261" s="164"/>
      <c r="F261" s="164"/>
    </row>
    <row r="262" spans="2:6" ht="15.75" hidden="1" thickBot="1" x14ac:dyDescent="0.3">
      <c r="B262" s="65" t="s">
        <v>59</v>
      </c>
      <c r="C262" s="165"/>
      <c r="D262" s="164"/>
      <c r="E262" s="164"/>
      <c r="F262" s="164"/>
    </row>
    <row r="263" spans="2:6" ht="15.75" hidden="1" thickBot="1" x14ac:dyDescent="0.3">
      <c r="B263" s="66" t="s">
        <v>40</v>
      </c>
      <c r="C263" s="165">
        <f>C262+C261</f>
        <v>0</v>
      </c>
      <c r="D263" s="165">
        <f t="shared" ref="D263:F263" si="29">D262+D261</f>
        <v>0</v>
      </c>
      <c r="E263" s="165">
        <f t="shared" si="29"/>
        <v>0</v>
      </c>
      <c r="F263" s="165">
        <f t="shared" si="29"/>
        <v>0</v>
      </c>
    </row>
    <row r="264" spans="2:6" ht="15.75" hidden="1" thickBot="1" x14ac:dyDescent="0.3">
      <c r="B264" s="67" t="s">
        <v>61</v>
      </c>
      <c r="C264" s="1009" t="s">
        <v>130</v>
      </c>
      <c r="D264" s="1010"/>
      <c r="E264" s="1010"/>
      <c r="F264" s="1011"/>
    </row>
    <row r="265" spans="2:6" ht="30.75" hidden="1" thickBot="1" x14ac:dyDescent="0.3">
      <c r="B265" s="160" t="s">
        <v>129</v>
      </c>
      <c r="C265" s="992" t="s">
        <v>106</v>
      </c>
      <c r="D265" s="993"/>
      <c r="E265" s="993"/>
      <c r="F265" s="994"/>
    </row>
    <row r="266" spans="2:6" ht="17.25" hidden="1" customHeight="1" thickBot="1" x14ac:dyDescent="0.3">
      <c r="B266" s="62" t="s">
        <v>17</v>
      </c>
      <c r="C266" s="983" t="s">
        <v>106</v>
      </c>
      <c r="D266" s="984"/>
      <c r="E266" s="984"/>
      <c r="F266" s="985"/>
    </row>
    <row r="267" spans="2:6" ht="15.75" hidden="1" thickBot="1" x14ac:dyDescent="0.3">
      <c r="B267" s="62" t="s">
        <v>18</v>
      </c>
      <c r="C267" s="995" t="s">
        <v>106</v>
      </c>
      <c r="D267" s="996"/>
      <c r="E267" s="996"/>
      <c r="F267" s="997"/>
    </row>
    <row r="268" spans="2:6" ht="12.75" hidden="1" customHeight="1" x14ac:dyDescent="0.25">
      <c r="B268" s="998"/>
      <c r="C268" s="63">
        <v>2018</v>
      </c>
      <c r="D268" s="63">
        <v>2019</v>
      </c>
      <c r="E268" s="63">
        <v>2020</v>
      </c>
      <c r="F268" s="63">
        <v>2021</v>
      </c>
    </row>
    <row r="269" spans="2:6" ht="9" hidden="1" customHeight="1" thickBot="1" x14ac:dyDescent="0.3">
      <c r="B269" s="999"/>
      <c r="C269" s="64" t="s">
        <v>10</v>
      </c>
      <c r="D269" s="64" t="s">
        <v>11</v>
      </c>
      <c r="E269" s="64" t="s">
        <v>11</v>
      </c>
      <c r="F269" s="64" t="s">
        <v>11</v>
      </c>
    </row>
    <row r="270" spans="2:6" ht="15.75" hidden="1" thickBot="1" x14ac:dyDescent="0.3">
      <c r="B270" s="62" t="s">
        <v>19</v>
      </c>
      <c r="C270" s="161"/>
      <c r="D270" s="161"/>
      <c r="E270" s="161"/>
      <c r="F270" s="161"/>
    </row>
    <row r="271" spans="2:6" ht="15.75" hidden="1" thickBot="1" x14ac:dyDescent="0.3">
      <c r="B271" s="62" t="s">
        <v>20</v>
      </c>
      <c r="C271" s="161"/>
      <c r="D271" s="161"/>
      <c r="E271" s="161"/>
      <c r="F271" s="161"/>
    </row>
    <row r="272" spans="2:6" ht="15.75" hidden="1" thickBot="1" x14ac:dyDescent="0.3">
      <c r="B272" s="62" t="s">
        <v>21</v>
      </c>
      <c r="C272" s="161" t="e">
        <f>C271/C270</f>
        <v>#DIV/0!</v>
      </c>
      <c r="D272" s="161" t="e">
        <f t="shared" ref="D272:F272" si="30">D271/D270</f>
        <v>#DIV/0!</v>
      </c>
      <c r="E272" s="161" t="e">
        <f t="shared" si="30"/>
        <v>#DIV/0!</v>
      </c>
      <c r="F272" s="161" t="e">
        <f t="shared" si="30"/>
        <v>#DIV/0!</v>
      </c>
    </row>
    <row r="273" spans="2:12" ht="15.75" hidden="1" thickBot="1" x14ac:dyDescent="0.3">
      <c r="B273" s="62" t="s">
        <v>22</v>
      </c>
      <c r="C273" s="150" t="s">
        <v>23</v>
      </c>
      <c r="D273" s="162" t="e">
        <f>D270/C270-1</f>
        <v>#DIV/0!</v>
      </c>
      <c r="E273" s="162" t="e">
        <f t="shared" ref="E273:F275" si="31">E270/D270-1</f>
        <v>#DIV/0!</v>
      </c>
      <c r="F273" s="162" t="e">
        <f t="shared" si="31"/>
        <v>#DIV/0!</v>
      </c>
      <c r="H273" s="163"/>
      <c r="I273" s="163"/>
      <c r="J273" s="163"/>
      <c r="K273" s="163"/>
      <c r="L273" s="163"/>
    </row>
    <row r="274" spans="2:12" ht="15.75" hidden="1" thickBot="1" x14ac:dyDescent="0.3">
      <c r="B274" s="62" t="s">
        <v>24</v>
      </c>
      <c r="C274" s="150" t="s">
        <v>23</v>
      </c>
      <c r="D274" s="162" t="e">
        <f>D271/C271-1</f>
        <v>#DIV/0!</v>
      </c>
      <c r="E274" s="162" t="e">
        <f t="shared" si="31"/>
        <v>#DIV/0!</v>
      </c>
      <c r="F274" s="162" t="e">
        <f t="shared" si="31"/>
        <v>#DIV/0!</v>
      </c>
    </row>
    <row r="275" spans="2:12" ht="15.75" hidden="1" thickBot="1" x14ac:dyDescent="0.3">
      <c r="B275" s="62" t="s">
        <v>25</v>
      </c>
      <c r="C275" s="150" t="s">
        <v>23</v>
      </c>
      <c r="D275" s="162" t="e">
        <f>D272/C272-1</f>
        <v>#DIV/0!</v>
      </c>
      <c r="E275" s="162" t="e">
        <f t="shared" si="31"/>
        <v>#DIV/0!</v>
      </c>
      <c r="F275" s="162" t="e">
        <f t="shared" si="31"/>
        <v>#DIV/0!</v>
      </c>
    </row>
    <row r="276" spans="2:12" ht="15.75" hidden="1" thickBot="1" x14ac:dyDescent="0.3">
      <c r="B276" s="1000" t="s">
        <v>793</v>
      </c>
      <c r="C276" s="1001"/>
      <c r="D276" s="1001"/>
      <c r="E276" s="1001"/>
      <c r="F276" s="1002"/>
    </row>
    <row r="277" spans="2:12" ht="12.75" hidden="1" customHeight="1" x14ac:dyDescent="0.25">
      <c r="B277" s="998"/>
      <c r="C277" s="63">
        <v>2018</v>
      </c>
      <c r="D277" s="63">
        <v>2019</v>
      </c>
      <c r="E277" s="63">
        <v>2020</v>
      </c>
      <c r="F277" s="63">
        <v>2021</v>
      </c>
    </row>
    <row r="278" spans="2:12" ht="9" hidden="1" customHeight="1" thickBot="1" x14ac:dyDescent="0.3">
      <c r="B278" s="999"/>
      <c r="C278" s="64" t="s">
        <v>10</v>
      </c>
      <c r="D278" s="64" t="s">
        <v>11</v>
      </c>
      <c r="E278" s="64" t="s">
        <v>11</v>
      </c>
      <c r="F278" s="64" t="s">
        <v>11</v>
      </c>
    </row>
    <row r="279" spans="2:12" ht="15.75" hidden="1" thickBot="1" x14ac:dyDescent="0.3">
      <c r="B279" s="65" t="s">
        <v>58</v>
      </c>
      <c r="C279" s="164"/>
      <c r="D279" s="164"/>
      <c r="E279" s="164"/>
      <c r="F279" s="164"/>
    </row>
    <row r="280" spans="2:12" ht="15.75" hidden="1" thickBot="1" x14ac:dyDescent="0.3">
      <c r="B280" s="65" t="s">
        <v>59</v>
      </c>
      <c r="C280" s="165"/>
      <c r="D280" s="164"/>
      <c r="E280" s="164"/>
      <c r="F280" s="164"/>
    </row>
    <row r="281" spans="2:12" ht="15.75" hidden="1" thickBot="1" x14ac:dyDescent="0.3">
      <c r="B281" s="66" t="s">
        <v>74</v>
      </c>
      <c r="C281" s="165">
        <f>C280+C279</f>
        <v>0</v>
      </c>
      <c r="D281" s="165">
        <f t="shared" ref="D281:F281" si="32">D280+D279</f>
        <v>0</v>
      </c>
      <c r="E281" s="165">
        <f t="shared" si="32"/>
        <v>0</v>
      </c>
      <c r="F281" s="165">
        <f t="shared" si="32"/>
        <v>0</v>
      </c>
    </row>
    <row r="282" spans="2:12" ht="15.75" thickBot="1" x14ac:dyDescent="0.3">
      <c r="B282" s="175"/>
      <c r="C282" s="176"/>
      <c r="D282" s="176"/>
      <c r="E282" s="176"/>
      <c r="F282" s="176"/>
    </row>
    <row r="283" spans="2:12" ht="36" customHeight="1" thickBot="1" x14ac:dyDescent="0.3">
      <c r="B283" s="158" t="s">
        <v>82</v>
      </c>
      <c r="C283" s="177">
        <v>199200</v>
      </c>
      <c r="D283" s="177">
        <f>D271+D253+D233+D215+D189+D164+D138+D120+D100+D79+D53+D30</f>
        <v>134200</v>
      </c>
      <c r="E283" s="177">
        <f>E271+E253+E233+E215+E189+E164+E138+E120+E100+E79+E53+E30</f>
        <v>134200</v>
      </c>
      <c r="F283" s="177">
        <f>F271+F253+F233+F215+F189+F164+F138+F120+F100+F79+F53+F30</f>
        <v>134200</v>
      </c>
    </row>
    <row r="284" spans="2:12" ht="30.75" thickBot="1" x14ac:dyDescent="0.3">
      <c r="B284" s="158" t="s">
        <v>83</v>
      </c>
      <c r="C284" s="177">
        <f>C286+C288+C290+C292+C294+C296+C298+C300+C302</f>
        <v>199200</v>
      </c>
      <c r="D284" s="177">
        <f>D286+D288+D290+D292+D294+D296+D298+D300+D302</f>
        <v>134200</v>
      </c>
      <c r="E284" s="177">
        <f>E286+E288+E290+E292+E294+E296+E298+E300+E302</f>
        <v>134200</v>
      </c>
      <c r="F284" s="177">
        <f>F286+F288+F290+F292+F294+F296+F298+F300+F302</f>
        <v>134200</v>
      </c>
    </row>
    <row r="285" spans="2:12" ht="30.75" thickBot="1" x14ac:dyDescent="0.3">
      <c r="B285" s="178" t="s">
        <v>84</v>
      </c>
      <c r="C285" s="179"/>
      <c r="D285" s="180">
        <f>D284/C284-1</f>
        <v>-0.32630522088353409</v>
      </c>
      <c r="E285" s="180">
        <f t="shared" ref="E285:F285" si="33">E284/D284-1</f>
        <v>0</v>
      </c>
      <c r="F285" s="180">
        <f t="shared" si="33"/>
        <v>0</v>
      </c>
    </row>
    <row r="286" spans="2:12" ht="15.75" thickBot="1" x14ac:dyDescent="0.3">
      <c r="B286" s="65" t="s">
        <v>26</v>
      </c>
      <c r="C286" s="164">
        <f>C197+C174+C61+C38</f>
        <v>141300</v>
      </c>
      <c r="D286" s="164">
        <f>D197+D174+D61+D38</f>
        <v>81148</v>
      </c>
      <c r="E286" s="164">
        <f>E197+E174+E61+E38</f>
        <v>79961.440000000002</v>
      </c>
      <c r="F286" s="164">
        <f>F197+F174+F61+F38</f>
        <v>78739.283200000005</v>
      </c>
      <c r="H286" s="163"/>
      <c r="I286" s="163"/>
      <c r="J286" s="163"/>
    </row>
    <row r="287" spans="2:12" ht="15.75" thickBot="1" x14ac:dyDescent="0.3">
      <c r="B287" s="181" t="s">
        <v>85</v>
      </c>
      <c r="C287" s="165"/>
      <c r="D287" s="182">
        <f>D286/C286-1</f>
        <v>-0.4257041755130927</v>
      </c>
      <c r="E287" s="182">
        <f t="shared" ref="E287:F287" si="34">E286/D286-1</f>
        <v>-1.4622171834179465E-2</v>
      </c>
      <c r="F287" s="182">
        <f t="shared" si="34"/>
        <v>-1.5284327045635981E-2</v>
      </c>
    </row>
    <row r="288" spans="2:12" ht="30.75" thickBot="1" x14ac:dyDescent="0.3">
      <c r="B288" s="65" t="s">
        <v>28</v>
      </c>
      <c r="C288" s="164">
        <f>C198+C175+C62+C39</f>
        <v>10900</v>
      </c>
      <c r="D288" s="164">
        <f>D198+D175+D62+D39</f>
        <v>13500</v>
      </c>
      <c r="E288" s="164">
        <f>E198+E175+E62+E39</f>
        <v>13500</v>
      </c>
      <c r="F288" s="164">
        <f>F198+F175+F62+F39</f>
        <v>13500</v>
      </c>
    </row>
    <row r="289" spans="2:6" ht="30.75" thickBot="1" x14ac:dyDescent="0.3">
      <c r="B289" s="181" t="s">
        <v>86</v>
      </c>
      <c r="C289" s="165"/>
      <c r="D289" s="182">
        <f>D288/C288-1</f>
        <v>0.23853211009174302</v>
      </c>
      <c r="E289" s="182">
        <f t="shared" ref="E289:F289" si="35">E288/D288-1</f>
        <v>0</v>
      </c>
      <c r="F289" s="182">
        <f t="shared" si="35"/>
        <v>0</v>
      </c>
    </row>
    <row r="290" spans="2:6" ht="15.75" thickBot="1" x14ac:dyDescent="0.3">
      <c r="B290" s="65" t="s">
        <v>30</v>
      </c>
      <c r="C290" s="164">
        <f>C199+C176+C63+C40</f>
        <v>32000</v>
      </c>
      <c r="D290" s="164">
        <f>D199+D176+D63+D40</f>
        <v>39552</v>
      </c>
      <c r="E290" s="164">
        <f>E199+E176+E63+E40</f>
        <v>40738.559999999998</v>
      </c>
      <c r="F290" s="164">
        <f>F199+F176+F63+F40</f>
        <v>41960.716800000002</v>
      </c>
    </row>
    <row r="291" spans="2:6" ht="30.75" thickBot="1" x14ac:dyDescent="0.3">
      <c r="B291" s="181" t="s">
        <v>87</v>
      </c>
      <c r="C291" s="165"/>
      <c r="D291" s="182">
        <f>D290/C290-1</f>
        <v>0.23599999999999999</v>
      </c>
      <c r="E291" s="182">
        <f t="shared" ref="E291:F291" si="36">E290/D290-1</f>
        <v>3.0000000000000027E-2</v>
      </c>
      <c r="F291" s="182">
        <f t="shared" si="36"/>
        <v>3.0000000000000027E-2</v>
      </c>
    </row>
    <row r="292" spans="2:6" ht="15.75" thickBot="1" x14ac:dyDescent="0.3">
      <c r="B292" s="65" t="s">
        <v>32</v>
      </c>
      <c r="C292" s="164">
        <f>C200+C177+C64+C41</f>
        <v>0</v>
      </c>
      <c r="D292" s="164">
        <f>D200+D177+D64+D41</f>
        <v>0</v>
      </c>
      <c r="E292" s="164">
        <f>E200+E177+E64+E41</f>
        <v>0</v>
      </c>
      <c r="F292" s="164">
        <f>F200+F177+F64+F41</f>
        <v>0</v>
      </c>
    </row>
    <row r="293" spans="2:6" ht="15.75" thickBot="1" x14ac:dyDescent="0.3">
      <c r="B293" s="181" t="s">
        <v>88</v>
      </c>
      <c r="C293" s="165"/>
      <c r="D293" s="182" t="e">
        <f>D292/C292-1</f>
        <v>#DIV/0!</v>
      </c>
      <c r="E293" s="182" t="e">
        <f t="shared" ref="E293:F293" si="37">E292/D292-1</f>
        <v>#DIV/0!</v>
      </c>
      <c r="F293" s="182" t="e">
        <f t="shared" si="37"/>
        <v>#DIV/0!</v>
      </c>
    </row>
    <row r="294" spans="2:6" ht="15.75" thickBot="1" x14ac:dyDescent="0.3">
      <c r="B294" s="65" t="s">
        <v>34</v>
      </c>
      <c r="C294" s="164">
        <f>C201+C178+C65+C42</f>
        <v>0</v>
      </c>
      <c r="D294" s="164">
        <f>D201+D178+D65+D42</f>
        <v>0</v>
      </c>
      <c r="E294" s="164">
        <f>E201+E178+E65+E42</f>
        <v>0</v>
      </c>
      <c r="F294" s="164">
        <f>F201+F178+F65+F42</f>
        <v>0</v>
      </c>
    </row>
    <row r="295" spans="2:6" ht="30.75" thickBot="1" x14ac:dyDescent="0.3">
      <c r="B295" s="181" t="s">
        <v>89</v>
      </c>
      <c r="C295" s="165"/>
      <c r="D295" s="182" t="e">
        <f>D294/C294-1</f>
        <v>#DIV/0!</v>
      </c>
      <c r="E295" s="182" t="e">
        <f t="shared" ref="E295:F295" si="38">E294/D294-1</f>
        <v>#DIV/0!</v>
      </c>
      <c r="F295" s="182" t="e">
        <f t="shared" si="38"/>
        <v>#DIV/0!</v>
      </c>
    </row>
    <row r="296" spans="2:6" ht="15.75" thickBot="1" x14ac:dyDescent="0.3">
      <c r="B296" s="65" t="s">
        <v>36</v>
      </c>
      <c r="C296" s="164">
        <f>C202+C179+C66+C43</f>
        <v>0</v>
      </c>
      <c r="D296" s="164">
        <f>D202+D179+D66+D43</f>
        <v>0</v>
      </c>
      <c r="E296" s="164">
        <f>E202+E179+E66+E43</f>
        <v>0</v>
      </c>
      <c r="F296" s="164">
        <f>F202+F179+F66+F43</f>
        <v>0</v>
      </c>
    </row>
    <row r="297" spans="2:6" ht="15.75" thickBot="1" x14ac:dyDescent="0.3">
      <c r="B297" s="181" t="s">
        <v>90</v>
      </c>
      <c r="C297" s="165"/>
      <c r="D297" s="182" t="e">
        <f>D296/C296-1</f>
        <v>#DIV/0!</v>
      </c>
      <c r="E297" s="182" t="e">
        <f t="shared" ref="E297:F297" si="39">E296/D296-1</f>
        <v>#DIV/0!</v>
      </c>
      <c r="F297" s="182" t="e">
        <f t="shared" si="39"/>
        <v>#DIV/0!</v>
      </c>
    </row>
    <row r="298" spans="2:6" ht="30.75" thickBot="1" x14ac:dyDescent="0.3">
      <c r="B298" s="65" t="s">
        <v>38</v>
      </c>
      <c r="C298" s="164">
        <f>C203+C180+C67+C44</f>
        <v>0</v>
      </c>
      <c r="D298" s="164">
        <f>D203+D180+D67+D44</f>
        <v>0</v>
      </c>
      <c r="E298" s="164">
        <f>E203+E180+E67+E44</f>
        <v>0</v>
      </c>
      <c r="F298" s="164">
        <f>F203+F180+F67+F44</f>
        <v>0</v>
      </c>
    </row>
    <row r="299" spans="2:6" ht="30.75" thickBot="1" x14ac:dyDescent="0.3">
      <c r="B299" s="181" t="s">
        <v>91</v>
      </c>
      <c r="C299" s="165"/>
      <c r="D299" s="182" t="e">
        <f>D298/C298-1</f>
        <v>#DIV/0!</v>
      </c>
      <c r="E299" s="182" t="e">
        <f t="shared" ref="E299:F299" si="40">E298/D298-1</f>
        <v>#DIV/0!</v>
      </c>
      <c r="F299" s="182" t="e">
        <f t="shared" si="40"/>
        <v>#DIV/0!</v>
      </c>
    </row>
    <row r="300" spans="2:6" ht="15.75" thickBot="1" x14ac:dyDescent="0.3">
      <c r="B300" s="65" t="s">
        <v>92</v>
      </c>
      <c r="C300" s="164">
        <f>C87+C108+C128+C146+C223+C241+C261+C279</f>
        <v>0</v>
      </c>
      <c r="D300" s="164">
        <f>D87+D108+D128+D146+D223+D241+D261+D279</f>
        <v>0</v>
      </c>
      <c r="E300" s="164">
        <f>E87+E108+E128+E146+E223+E241+E261+E279</f>
        <v>0</v>
      </c>
      <c r="F300" s="164">
        <f>F87+F108+F128+F146+F223+F241+F261+F279</f>
        <v>0</v>
      </c>
    </row>
    <row r="301" spans="2:6" ht="30.75" thickBot="1" x14ac:dyDescent="0.3">
      <c r="B301" s="181" t="s">
        <v>93</v>
      </c>
      <c r="C301" s="165"/>
      <c r="D301" s="182" t="e">
        <f>D300/C300-1</f>
        <v>#DIV/0!</v>
      </c>
      <c r="E301" s="182" t="e">
        <f t="shared" ref="E301:F301" si="41">E300/D300-1</f>
        <v>#DIV/0!</v>
      </c>
      <c r="F301" s="182" t="e">
        <f t="shared" si="41"/>
        <v>#DIV/0!</v>
      </c>
    </row>
    <row r="302" spans="2:6" ht="15.75" thickBot="1" x14ac:dyDescent="0.3">
      <c r="B302" s="65" t="s">
        <v>94</v>
      </c>
      <c r="C302" s="164">
        <f>C88+C109+C129+C147+C224+C242+C262+C280</f>
        <v>15000</v>
      </c>
      <c r="D302" s="164">
        <f>D88+D109+D129+D147+D224+D242+D262+D280</f>
        <v>0</v>
      </c>
      <c r="E302" s="164">
        <f>E88+E109+E129+E147+E224+E242+E262+E280</f>
        <v>0</v>
      </c>
      <c r="F302" s="164">
        <f>F88+F109+F129+F147+F224+F242+F262+F280</f>
        <v>0</v>
      </c>
    </row>
    <row r="303" spans="2:6" ht="30.75" thickBot="1" x14ac:dyDescent="0.3">
      <c r="B303" s="181" t="s">
        <v>95</v>
      </c>
      <c r="C303" s="165"/>
      <c r="D303" s="182">
        <f>D302/C302-1</f>
        <v>-1</v>
      </c>
      <c r="E303" s="182" t="e">
        <f t="shared" ref="E303:F303" si="42">E302/D302-1</f>
        <v>#DIV/0!</v>
      </c>
      <c r="F303" s="182" t="e">
        <f t="shared" si="42"/>
        <v>#DIV/0!</v>
      </c>
    </row>
    <row r="304" spans="2:6" ht="15.75" thickBot="1" x14ac:dyDescent="0.3">
      <c r="B304" s="166" t="s">
        <v>41</v>
      </c>
      <c r="C304" s="167">
        <f>IF(C284-C283=0,0,"Error")</f>
        <v>0</v>
      </c>
      <c r="D304" s="167">
        <f t="shared" ref="D304:F304" si="43">IF(D284-D283=0,0,"Error")</f>
        <v>0</v>
      </c>
      <c r="E304" s="167">
        <f t="shared" si="43"/>
        <v>0</v>
      </c>
      <c r="F304" s="167">
        <f t="shared" si="43"/>
        <v>0</v>
      </c>
    </row>
    <row r="305" spans="2:10" ht="30.75" thickBot="1" x14ac:dyDescent="0.3">
      <c r="B305" s="183" t="s">
        <v>96</v>
      </c>
      <c r="C305" s="164">
        <v>50</v>
      </c>
      <c r="D305" s="164">
        <v>60</v>
      </c>
      <c r="E305" s="164">
        <v>60</v>
      </c>
      <c r="F305" s="164">
        <v>60</v>
      </c>
    </row>
    <row r="306" spans="2:10" ht="30.75" thickBot="1" x14ac:dyDescent="0.3">
      <c r="B306" s="183" t="s">
        <v>97</v>
      </c>
      <c r="C306" s="164">
        <v>0</v>
      </c>
      <c r="D306" s="164">
        <v>0</v>
      </c>
      <c r="E306" s="164">
        <v>0</v>
      </c>
      <c r="F306" s="164">
        <v>0</v>
      </c>
    </row>
    <row r="307" spans="2:10" x14ac:dyDescent="0.25">
      <c r="B307" s="184"/>
      <c r="C307" s="185"/>
      <c r="D307" s="647"/>
      <c r="E307" s="647"/>
      <c r="F307" s="647"/>
      <c r="G307" s="202"/>
      <c r="H307" s="202"/>
      <c r="I307" s="202"/>
      <c r="J307" s="202"/>
    </row>
  </sheetData>
  <mergeCells count="107">
    <mergeCell ref="C265:F265"/>
    <mergeCell ref="C266:F266"/>
    <mergeCell ref="C267:F267"/>
    <mergeCell ref="B268:B269"/>
    <mergeCell ref="B276:F276"/>
    <mergeCell ref="B277:B278"/>
    <mergeCell ref="C248:F248"/>
    <mergeCell ref="C249:F249"/>
    <mergeCell ref="B250:B251"/>
    <mergeCell ref="B258:F258"/>
    <mergeCell ref="B259:B260"/>
    <mergeCell ref="C264:F264"/>
    <mergeCell ref="B238:F238"/>
    <mergeCell ref="B239:B240"/>
    <mergeCell ref="B244:F244"/>
    <mergeCell ref="B245:F245"/>
    <mergeCell ref="C246:F246"/>
    <mergeCell ref="C247:F247"/>
    <mergeCell ref="B221:B222"/>
    <mergeCell ref="C226:F226"/>
    <mergeCell ref="C227:F227"/>
    <mergeCell ref="C228:F228"/>
    <mergeCell ref="C229:F229"/>
    <mergeCell ref="B230:B231"/>
    <mergeCell ref="C208:F208"/>
    <mergeCell ref="C209:F209"/>
    <mergeCell ref="C210:F210"/>
    <mergeCell ref="C211:F211"/>
    <mergeCell ref="B212:B213"/>
    <mergeCell ref="B220:F220"/>
    <mergeCell ref="C185:F185"/>
    <mergeCell ref="B186:B187"/>
    <mergeCell ref="B194:F194"/>
    <mergeCell ref="B195:B196"/>
    <mergeCell ref="B206:F206"/>
    <mergeCell ref="B207:F207"/>
    <mergeCell ref="B161:B162"/>
    <mergeCell ref="B169:B170"/>
    <mergeCell ref="B171:F171"/>
    <mergeCell ref="B172:B173"/>
    <mergeCell ref="C183:F183"/>
    <mergeCell ref="C184:F184"/>
    <mergeCell ref="B154:F154"/>
    <mergeCell ref="B155:F155"/>
    <mergeCell ref="B156:B157"/>
    <mergeCell ref="C158:F158"/>
    <mergeCell ref="C159:F159"/>
    <mergeCell ref="C160:F160"/>
    <mergeCell ref="C134:F134"/>
    <mergeCell ref="B135:B136"/>
    <mergeCell ref="B143:F143"/>
    <mergeCell ref="B144:B145"/>
    <mergeCell ref="C149:F149"/>
    <mergeCell ref="B150:F150"/>
    <mergeCell ref="B117:B118"/>
    <mergeCell ref="B125:F125"/>
    <mergeCell ref="B126:B127"/>
    <mergeCell ref="C131:F131"/>
    <mergeCell ref="C132:F132"/>
    <mergeCell ref="C133:F133"/>
    <mergeCell ref="B111:F111"/>
    <mergeCell ref="B112:F112"/>
    <mergeCell ref="C113:F113"/>
    <mergeCell ref="C114:F114"/>
    <mergeCell ref="C115:F115"/>
    <mergeCell ref="C116:F116"/>
    <mergeCell ref="C94:F94"/>
    <mergeCell ref="C95:F95"/>
    <mergeCell ref="C96:F96"/>
    <mergeCell ref="B97:B98"/>
    <mergeCell ref="B105:F105"/>
    <mergeCell ref="B106:B107"/>
    <mergeCell ref="B76:B77"/>
    <mergeCell ref="B84:F84"/>
    <mergeCell ref="B85:B86"/>
    <mergeCell ref="B90:B92"/>
    <mergeCell ref="C90:F92"/>
    <mergeCell ref="C93:F93"/>
    <mergeCell ref="B71:F71"/>
    <mergeCell ref="C72:F72"/>
    <mergeCell ref="C73:F73"/>
    <mergeCell ref="C74:F74"/>
    <mergeCell ref="C75:F75"/>
    <mergeCell ref="B70:F70"/>
    <mergeCell ref="C4:F4"/>
    <mergeCell ref="C5:F5"/>
    <mergeCell ref="C6:F6"/>
    <mergeCell ref="B7:F7"/>
    <mergeCell ref="B8:F10"/>
    <mergeCell ref="C24:F24"/>
    <mergeCell ref="C25:F25"/>
    <mergeCell ref="C26:F26"/>
    <mergeCell ref="B27:B28"/>
    <mergeCell ref="C47:F47"/>
    <mergeCell ref="C48:F48"/>
    <mergeCell ref="C49:F49"/>
    <mergeCell ref="B51:B52"/>
    <mergeCell ref="B58:F58"/>
    <mergeCell ref="B59:B60"/>
    <mergeCell ref="B35:F35"/>
    <mergeCell ref="B36:B37"/>
    <mergeCell ref="C11:F11"/>
    <mergeCell ref="B12:B13"/>
    <mergeCell ref="C17:F17"/>
    <mergeCell ref="B18:F18"/>
    <mergeCell ref="B22:F22"/>
    <mergeCell ref="B23:F23"/>
  </mergeCells>
  <pageMargins left="0.11811023622047245" right="0.11811023622047245" top="0.15748031496062992" bottom="0.15748031496062992" header="0.31496062992125984" footer="0.31496062992125984"/>
  <pageSetup orientation="portrait" r:id="rId1"/>
  <rowBreaks count="4" manualBreakCount="4">
    <brk id="69" max="16383" man="1"/>
    <brk id="124" max="16383" man="1"/>
    <brk id="193" max="16383" man="1"/>
    <brk id="263" max="16383"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8"/>
  <sheetViews>
    <sheetView topLeftCell="A214" workbookViewId="0">
      <selection activeCell="M264" sqref="M264"/>
    </sheetView>
  </sheetViews>
  <sheetFormatPr defaultRowHeight="15" x14ac:dyDescent="0.25"/>
  <cols>
    <col min="1" max="1" width="9.140625" style="152"/>
    <col min="2" max="2" width="37.5703125" style="152" customWidth="1"/>
    <col min="3" max="3" width="28.42578125" style="152" customWidth="1"/>
    <col min="4" max="4" width="24.42578125" style="152" customWidth="1"/>
    <col min="5" max="5" width="23.7109375" style="152" customWidth="1"/>
    <col min="6" max="6" width="23.140625" style="152" customWidth="1"/>
    <col min="7" max="16384" width="9.140625" style="152"/>
  </cols>
  <sheetData>
    <row r="1" spans="2:12" x14ac:dyDescent="0.25">
      <c r="B1" s="596"/>
      <c r="C1" s="596"/>
      <c r="D1" s="596"/>
      <c r="E1" s="596"/>
      <c r="F1" s="596"/>
    </row>
    <row r="2" spans="2:12" x14ac:dyDescent="0.25">
      <c r="B2" s="762"/>
      <c r="C2" s="762"/>
      <c r="D2" s="762"/>
      <c r="E2" s="762"/>
      <c r="F2" s="762"/>
      <c r="G2" s="762"/>
    </row>
    <row r="3" spans="2:12" ht="26.25" customHeight="1" x14ac:dyDescent="0.25">
      <c r="B3" s="1388" t="s">
        <v>0</v>
      </c>
      <c r="C3" s="1388"/>
      <c r="D3" s="1388"/>
      <c r="E3" s="1388"/>
      <c r="F3" s="1388"/>
      <c r="G3" s="565"/>
    </row>
    <row r="4" spans="2:12" ht="15.75" thickBot="1" x14ac:dyDescent="0.3">
      <c r="B4" s="596"/>
      <c r="C4" s="596"/>
      <c r="D4" s="596"/>
      <c r="E4" s="596"/>
      <c r="F4" s="596"/>
    </row>
    <row r="5" spans="2:12" ht="15.75" thickBot="1" x14ac:dyDescent="0.3">
      <c r="B5" s="597" t="s">
        <v>2</v>
      </c>
      <c r="C5" s="1389" t="s">
        <v>955</v>
      </c>
      <c r="D5" s="1389"/>
      <c r="E5" s="1389"/>
      <c r="F5" s="1389"/>
    </row>
    <row r="6" spans="2:12" ht="15.75" thickBot="1" x14ac:dyDescent="0.3">
      <c r="B6" s="597" t="s">
        <v>3</v>
      </c>
      <c r="C6" s="1390" t="s">
        <v>956</v>
      </c>
      <c r="D6" s="1391"/>
      <c r="E6" s="1391"/>
      <c r="F6" s="1392"/>
    </row>
    <row r="7" spans="2:12" ht="15.75" thickBot="1" x14ac:dyDescent="0.3">
      <c r="B7" s="597" t="s">
        <v>5</v>
      </c>
      <c r="C7" s="1045" t="s">
        <v>6</v>
      </c>
      <c r="D7" s="1046"/>
      <c r="E7" s="1046"/>
      <c r="F7" s="1047"/>
    </row>
    <row r="8" spans="2:12" ht="15.75" thickBot="1" x14ac:dyDescent="0.3">
      <c r="B8" s="1385" t="s">
        <v>7</v>
      </c>
      <c r="C8" s="1386"/>
      <c r="D8" s="1386"/>
      <c r="E8" s="1386"/>
      <c r="F8" s="1387"/>
    </row>
    <row r="9" spans="2:12" ht="15.75" thickBot="1" x14ac:dyDescent="0.3">
      <c r="B9" s="1376" t="s">
        <v>957</v>
      </c>
      <c r="C9" s="1377"/>
      <c r="D9" s="1377"/>
      <c r="E9" s="1377"/>
      <c r="F9" s="1378"/>
    </row>
    <row r="10" spans="2:12" ht="15.75" thickBot="1" x14ac:dyDescent="0.3">
      <c r="B10" s="1376"/>
      <c r="C10" s="1377"/>
      <c r="D10" s="1377"/>
      <c r="E10" s="1377"/>
      <c r="F10" s="1378"/>
    </row>
    <row r="11" spans="2:12" ht="15.75" thickBot="1" x14ac:dyDescent="0.3">
      <c r="B11" s="1376"/>
      <c r="C11" s="1377"/>
      <c r="D11" s="1377"/>
      <c r="E11" s="1377"/>
      <c r="F11" s="1378"/>
    </row>
    <row r="12" spans="2:12" ht="15.75" thickBot="1" x14ac:dyDescent="0.3">
      <c r="B12" s="598" t="s">
        <v>8</v>
      </c>
      <c r="C12" s="1379" t="s">
        <v>958</v>
      </c>
      <c r="D12" s="1380"/>
      <c r="E12" s="1380"/>
      <c r="F12" s="1381"/>
      <c r="G12" s="1080"/>
      <c r="H12" s="1081"/>
      <c r="I12" s="1081"/>
      <c r="J12" s="1081"/>
      <c r="K12" s="1081"/>
      <c r="L12" s="1081"/>
    </row>
    <row r="13" spans="2:12" x14ac:dyDescent="0.25">
      <c r="B13" s="1294" t="s">
        <v>9</v>
      </c>
      <c r="C13" s="599">
        <v>2018</v>
      </c>
      <c r="D13" s="599">
        <v>2019</v>
      </c>
      <c r="E13" s="599">
        <v>2020</v>
      </c>
      <c r="F13" s="599">
        <v>2021</v>
      </c>
    </row>
    <row r="14" spans="2:12" ht="15.75" thickBot="1" x14ac:dyDescent="0.3">
      <c r="B14" s="1295"/>
      <c r="C14" s="600" t="s">
        <v>10</v>
      </c>
      <c r="D14" s="600" t="s">
        <v>11</v>
      </c>
      <c r="E14" s="600" t="s">
        <v>11</v>
      </c>
      <c r="F14" s="600" t="s">
        <v>11</v>
      </c>
    </row>
    <row r="15" spans="2:12" ht="15.75" thickBot="1" x14ac:dyDescent="0.3">
      <c r="B15" s="238" t="s">
        <v>959</v>
      </c>
      <c r="C15" s="239" t="s">
        <v>116</v>
      </c>
      <c r="D15" s="239" t="s">
        <v>117</v>
      </c>
      <c r="E15" s="239" t="s">
        <v>117</v>
      </c>
      <c r="F15" s="239" t="s">
        <v>117</v>
      </c>
    </row>
    <row r="16" spans="2:12" ht="15.75" thickBot="1" x14ac:dyDescent="0.3">
      <c r="B16" s="385" t="s">
        <v>960</v>
      </c>
      <c r="C16" s="239" t="s">
        <v>116</v>
      </c>
      <c r="D16" s="239" t="s">
        <v>117</v>
      </c>
      <c r="E16" s="239" t="s">
        <v>117</v>
      </c>
      <c r="F16" s="239" t="s">
        <v>117</v>
      </c>
    </row>
    <row r="17" spans="2:11" ht="15.75" thickBot="1" x14ac:dyDescent="0.3">
      <c r="B17" s="385"/>
      <c r="C17" s="239"/>
      <c r="D17" s="239"/>
      <c r="E17" s="239"/>
      <c r="F17" s="239"/>
    </row>
    <row r="18" spans="2:11" ht="15.75" thickBot="1" x14ac:dyDescent="0.3">
      <c r="B18" s="251" t="s">
        <v>12</v>
      </c>
      <c r="C18" s="1382" t="s">
        <v>961</v>
      </c>
      <c r="D18" s="1379"/>
      <c r="E18" s="1379"/>
      <c r="F18" s="1383"/>
    </row>
    <row r="19" spans="2:11" ht="15.75" thickBot="1" x14ac:dyDescent="0.3">
      <c r="B19" s="1045" t="s">
        <v>13</v>
      </c>
      <c r="C19" s="1046"/>
      <c r="D19" s="1046"/>
      <c r="E19" s="1046"/>
      <c r="F19" s="1047"/>
      <c r="I19" s="159"/>
      <c r="K19" s="159"/>
    </row>
    <row r="20" spans="2:11" ht="15.75" thickBot="1" x14ac:dyDescent="0.3">
      <c r="B20" s="238"/>
      <c r="C20" s="239"/>
      <c r="D20" s="239"/>
      <c r="E20" s="239"/>
      <c r="F20" s="239"/>
    </row>
    <row r="21" spans="2:11" ht="30.75" thickBot="1" x14ac:dyDescent="0.3">
      <c r="B21" s="385" t="s">
        <v>962</v>
      </c>
      <c r="C21" s="239" t="s">
        <v>116</v>
      </c>
      <c r="D21" s="239" t="s">
        <v>117</v>
      </c>
      <c r="E21" s="239" t="s">
        <v>117</v>
      </c>
      <c r="F21" s="239" t="s">
        <v>117</v>
      </c>
    </row>
    <row r="22" spans="2:11" ht="15.75" thickBot="1" x14ac:dyDescent="0.3">
      <c r="B22" s="385"/>
      <c r="C22" s="239"/>
      <c r="D22" s="239"/>
      <c r="E22" s="239"/>
      <c r="F22" s="239"/>
    </row>
    <row r="23" spans="2:11" ht="15.75" thickBot="1" x14ac:dyDescent="0.3">
      <c r="B23" s="1373" t="s">
        <v>14</v>
      </c>
      <c r="C23" s="1374"/>
      <c r="D23" s="1374"/>
      <c r="E23" s="1374"/>
      <c r="F23" s="1375"/>
    </row>
    <row r="24" spans="2:11" ht="15.75" thickBot="1" x14ac:dyDescent="0.3">
      <c r="B24" s="1373" t="s">
        <v>15</v>
      </c>
      <c r="C24" s="1374"/>
      <c r="D24" s="1374"/>
      <c r="E24" s="1374"/>
      <c r="F24" s="1375"/>
    </row>
    <row r="25" spans="2:11" ht="15.75" thickBot="1" x14ac:dyDescent="0.3">
      <c r="B25" s="601" t="s">
        <v>16</v>
      </c>
      <c r="C25" s="1384" t="s">
        <v>963</v>
      </c>
      <c r="D25" s="1317"/>
      <c r="E25" s="1317"/>
      <c r="F25" s="1318"/>
    </row>
    <row r="26" spans="2:11" ht="15.75" thickBot="1" x14ac:dyDescent="0.3">
      <c r="B26" s="385" t="s">
        <v>17</v>
      </c>
      <c r="C26" s="1045" t="s">
        <v>964</v>
      </c>
      <c r="D26" s="1046"/>
      <c r="E26" s="1046"/>
      <c r="F26" s="1047"/>
    </row>
    <row r="27" spans="2:11" ht="15.75" thickBot="1" x14ac:dyDescent="0.3">
      <c r="B27" s="385" t="s">
        <v>18</v>
      </c>
      <c r="C27" s="1033" t="s">
        <v>965</v>
      </c>
      <c r="D27" s="1034"/>
      <c r="E27" s="1034"/>
      <c r="F27" s="1035"/>
    </row>
    <row r="28" spans="2:11" x14ac:dyDescent="0.25">
      <c r="B28" s="1294"/>
      <c r="C28" s="602">
        <v>2018</v>
      </c>
      <c r="D28" s="602">
        <v>2019</v>
      </c>
      <c r="E28" s="602">
        <v>2020</v>
      </c>
      <c r="F28" s="602">
        <v>2021</v>
      </c>
    </row>
    <row r="29" spans="2:11" ht="15.75" thickBot="1" x14ac:dyDescent="0.3">
      <c r="B29" s="1295"/>
      <c r="C29" s="603" t="s">
        <v>10</v>
      </c>
      <c r="D29" s="603" t="s">
        <v>11</v>
      </c>
      <c r="E29" s="603" t="s">
        <v>11</v>
      </c>
      <c r="F29" s="603" t="s">
        <v>11</v>
      </c>
    </row>
    <row r="30" spans="2:11" ht="15.75" thickBot="1" x14ac:dyDescent="0.3">
      <c r="B30" s="385" t="s">
        <v>19</v>
      </c>
      <c r="C30" s="308">
        <v>80</v>
      </c>
      <c r="D30" s="308">
        <v>140</v>
      </c>
      <c r="E30" s="308">
        <v>140</v>
      </c>
      <c r="F30" s="308">
        <v>140</v>
      </c>
    </row>
    <row r="31" spans="2:11" ht="15.75" thickBot="1" x14ac:dyDescent="0.3">
      <c r="B31" s="385" t="s">
        <v>20</v>
      </c>
      <c r="C31" s="308">
        <f>100000+8000+20000</f>
        <v>128000</v>
      </c>
      <c r="D31" s="308">
        <v>131600</v>
      </c>
      <c r="E31" s="308">
        <v>135000</v>
      </c>
      <c r="F31" s="308">
        <v>136000</v>
      </c>
    </row>
    <row r="32" spans="2:11" ht="15.75" thickBot="1" x14ac:dyDescent="0.3">
      <c r="B32" s="385" t="s">
        <v>21</v>
      </c>
      <c r="C32" s="308">
        <f>C31/C30</f>
        <v>1600</v>
      </c>
      <c r="D32" s="308">
        <f t="shared" ref="D32:F32" si="0">D31/D30</f>
        <v>940</v>
      </c>
      <c r="E32" s="308">
        <f t="shared" si="0"/>
        <v>964.28571428571433</v>
      </c>
      <c r="F32" s="308">
        <f t="shared" si="0"/>
        <v>971.42857142857144</v>
      </c>
      <c r="G32" s="163"/>
    </row>
    <row r="33" spans="2:12" ht="15.75" thickBot="1" x14ac:dyDescent="0.3">
      <c r="B33" s="385" t="s">
        <v>22</v>
      </c>
      <c r="C33" s="566" t="s">
        <v>23</v>
      </c>
      <c r="D33" s="604">
        <f>D30/C30-1</f>
        <v>0.75</v>
      </c>
      <c r="E33" s="604">
        <f t="shared" ref="E33:F35" si="1">E30/D30-1</f>
        <v>0</v>
      </c>
      <c r="F33" s="604">
        <f t="shared" si="1"/>
        <v>0</v>
      </c>
      <c r="H33" s="163"/>
      <c r="I33" s="163"/>
      <c r="J33" s="163"/>
      <c r="K33" s="163"/>
      <c r="L33" s="163"/>
    </row>
    <row r="34" spans="2:12" ht="15.75" thickBot="1" x14ac:dyDescent="0.3">
      <c r="B34" s="385" t="s">
        <v>24</v>
      </c>
      <c r="C34" s="566" t="s">
        <v>23</v>
      </c>
      <c r="D34" s="604">
        <f>D31/C31-1</f>
        <v>2.8124999999999956E-2</v>
      </c>
      <c r="E34" s="604">
        <f t="shared" si="1"/>
        <v>2.5835866261398222E-2</v>
      </c>
      <c r="F34" s="604">
        <f t="shared" si="1"/>
        <v>7.4074074074073071E-3</v>
      </c>
    </row>
    <row r="35" spans="2:12" ht="15.75" thickBot="1" x14ac:dyDescent="0.3">
      <c r="B35" s="385" t="s">
        <v>25</v>
      </c>
      <c r="C35" s="566" t="s">
        <v>23</v>
      </c>
      <c r="D35" s="604">
        <f>D32/C32-1</f>
        <v>-0.41249999999999998</v>
      </c>
      <c r="E35" s="604">
        <f t="shared" si="1"/>
        <v>2.5835866261398222E-2</v>
      </c>
      <c r="F35" s="604">
        <f t="shared" si="1"/>
        <v>7.4074074074073071E-3</v>
      </c>
    </row>
    <row r="36" spans="2:12" ht="15.75" thickBot="1" x14ac:dyDescent="0.3">
      <c r="B36" s="1030" t="s">
        <v>118</v>
      </c>
      <c r="C36" s="1031"/>
      <c r="D36" s="1031"/>
      <c r="E36" s="1031"/>
      <c r="F36" s="1032"/>
    </row>
    <row r="37" spans="2:12" x14ac:dyDescent="0.25">
      <c r="B37" s="1294"/>
      <c r="C37" s="602">
        <v>2018</v>
      </c>
      <c r="D37" s="602">
        <v>2019</v>
      </c>
      <c r="E37" s="602">
        <v>2020</v>
      </c>
      <c r="F37" s="602">
        <v>2021</v>
      </c>
    </row>
    <row r="38" spans="2:12" ht="15.75" thickBot="1" x14ac:dyDescent="0.3">
      <c r="B38" s="1295"/>
      <c r="C38" s="603" t="s">
        <v>10</v>
      </c>
      <c r="D38" s="603" t="s">
        <v>11</v>
      </c>
      <c r="E38" s="603" t="s">
        <v>11</v>
      </c>
      <c r="F38" s="603" t="s">
        <v>11</v>
      </c>
    </row>
    <row r="39" spans="2:12" ht="15.75" thickBot="1" x14ac:dyDescent="0.3">
      <c r="B39" s="605" t="s">
        <v>26</v>
      </c>
      <c r="C39" s="606">
        <v>100000</v>
      </c>
      <c r="D39" s="606">
        <v>98300</v>
      </c>
      <c r="E39" s="606">
        <f>109000-10700</f>
        <v>98300</v>
      </c>
      <c r="F39" s="606">
        <v>98300</v>
      </c>
    </row>
    <row r="40" spans="2:12" ht="30.75" thickBot="1" x14ac:dyDescent="0.3">
      <c r="B40" s="607" t="s">
        <v>27</v>
      </c>
      <c r="C40" s="527"/>
      <c r="D40" s="608"/>
      <c r="E40" s="608"/>
      <c r="F40" s="608"/>
    </row>
    <row r="41" spans="2:12" ht="30.75" thickBot="1" x14ac:dyDescent="0.3">
      <c r="B41" s="607" t="s">
        <v>1007</v>
      </c>
      <c r="C41" s="527"/>
      <c r="D41" s="609"/>
      <c r="E41" s="609"/>
      <c r="F41" s="609"/>
    </row>
    <row r="42" spans="2:12" ht="30.75" thickBot="1" x14ac:dyDescent="0.3">
      <c r="B42" s="605" t="s">
        <v>28</v>
      </c>
      <c r="C42" s="606">
        <v>8000</v>
      </c>
      <c r="D42" s="606">
        <v>8300</v>
      </c>
      <c r="E42" s="606">
        <v>10700</v>
      </c>
      <c r="F42" s="606">
        <v>10700</v>
      </c>
    </row>
    <row r="43" spans="2:12" ht="45.75" thickBot="1" x14ac:dyDescent="0.3">
      <c r="B43" s="607" t="s">
        <v>29</v>
      </c>
      <c r="C43" s="527"/>
      <c r="D43" s="606"/>
      <c r="E43" s="606"/>
      <c r="F43" s="606"/>
    </row>
    <row r="44" spans="2:12" ht="45.75" thickBot="1" x14ac:dyDescent="0.3">
      <c r="B44" s="607" t="s">
        <v>1008</v>
      </c>
      <c r="C44" s="527"/>
      <c r="D44" s="606"/>
      <c r="E44" s="606"/>
      <c r="F44" s="606"/>
    </row>
    <row r="45" spans="2:12" ht="15.75" thickBot="1" x14ac:dyDescent="0.3">
      <c r="B45" s="605" t="s">
        <v>30</v>
      </c>
      <c r="C45" s="527">
        <v>20000</v>
      </c>
      <c r="D45" s="606">
        <v>25000</v>
      </c>
      <c r="E45" s="606">
        <v>26000</v>
      </c>
      <c r="F45" s="606">
        <v>27000</v>
      </c>
    </row>
    <row r="46" spans="2:12" ht="30.75" thickBot="1" x14ac:dyDescent="0.3">
      <c r="B46" s="607" t="s">
        <v>31</v>
      </c>
      <c r="C46" s="527"/>
      <c r="D46" s="606"/>
      <c r="E46" s="606"/>
      <c r="F46" s="606"/>
    </row>
    <row r="47" spans="2:12" ht="30.75" thickBot="1" x14ac:dyDescent="0.3">
      <c r="B47" s="607" t="s">
        <v>1009</v>
      </c>
      <c r="C47" s="527"/>
      <c r="D47" s="606"/>
      <c r="E47" s="606"/>
      <c r="F47" s="606"/>
    </row>
    <row r="48" spans="2:12" ht="15.75" thickBot="1" x14ac:dyDescent="0.3">
      <c r="B48" s="605" t="s">
        <v>32</v>
      </c>
      <c r="C48" s="527"/>
      <c r="D48" s="606"/>
      <c r="E48" s="606"/>
      <c r="F48" s="606"/>
    </row>
    <row r="49" spans="2:6" ht="30.75" thickBot="1" x14ac:dyDescent="0.3">
      <c r="B49" s="607" t="s">
        <v>33</v>
      </c>
      <c r="C49" s="527"/>
      <c r="D49" s="606"/>
      <c r="E49" s="606"/>
      <c r="F49" s="606"/>
    </row>
    <row r="50" spans="2:6" ht="30.75" thickBot="1" x14ac:dyDescent="0.3">
      <c r="B50" s="607" t="s">
        <v>1010</v>
      </c>
      <c r="C50" s="527"/>
      <c r="D50" s="606"/>
      <c r="E50" s="606"/>
      <c r="F50" s="606"/>
    </row>
    <row r="51" spans="2:6" ht="15.75" thickBot="1" x14ac:dyDescent="0.3">
      <c r="B51" s="605" t="s">
        <v>34</v>
      </c>
      <c r="C51" s="527"/>
      <c r="D51" s="606"/>
      <c r="E51" s="606"/>
      <c r="F51" s="606"/>
    </row>
    <row r="52" spans="2:6" ht="30.75" thickBot="1" x14ac:dyDescent="0.3">
      <c r="B52" s="607" t="s">
        <v>35</v>
      </c>
      <c r="C52" s="527"/>
      <c r="D52" s="606"/>
      <c r="E52" s="606"/>
      <c r="F52" s="606"/>
    </row>
    <row r="53" spans="2:6" ht="30.75" thickBot="1" x14ac:dyDescent="0.3">
      <c r="B53" s="607" t="s">
        <v>1011</v>
      </c>
      <c r="C53" s="527"/>
      <c r="D53" s="606"/>
      <c r="E53" s="606"/>
      <c r="F53" s="606"/>
    </row>
    <row r="54" spans="2:6" ht="15.75" thickBot="1" x14ac:dyDescent="0.3">
      <c r="B54" s="605" t="s">
        <v>36</v>
      </c>
      <c r="C54" s="527"/>
      <c r="D54" s="606"/>
      <c r="E54" s="606"/>
      <c r="F54" s="606"/>
    </row>
    <row r="55" spans="2:6" ht="30.75" thickBot="1" x14ac:dyDescent="0.3">
      <c r="B55" s="607" t="s">
        <v>37</v>
      </c>
      <c r="C55" s="527"/>
      <c r="D55" s="606"/>
      <c r="E55" s="606"/>
      <c r="F55" s="606"/>
    </row>
    <row r="56" spans="2:6" ht="30.75" thickBot="1" x14ac:dyDescent="0.3">
      <c r="B56" s="607" t="s">
        <v>1012</v>
      </c>
      <c r="C56" s="527"/>
      <c r="D56" s="606"/>
      <c r="E56" s="606"/>
      <c r="F56" s="606"/>
    </row>
    <row r="57" spans="2:6" ht="15.75" thickBot="1" x14ac:dyDescent="0.3">
      <c r="B57" s="605" t="s">
        <v>38</v>
      </c>
      <c r="C57" s="527"/>
      <c r="D57" s="606"/>
      <c r="E57" s="606"/>
      <c r="F57" s="606"/>
    </row>
    <row r="58" spans="2:6" ht="45.75" thickBot="1" x14ac:dyDescent="0.3">
      <c r="B58" s="607" t="s">
        <v>39</v>
      </c>
      <c r="C58" s="527"/>
      <c r="D58" s="606"/>
      <c r="E58" s="606"/>
      <c r="F58" s="606"/>
    </row>
    <row r="59" spans="2:6" ht="45.75" thickBot="1" x14ac:dyDescent="0.3">
      <c r="B59" s="607" t="s">
        <v>1013</v>
      </c>
      <c r="C59" s="527"/>
      <c r="D59" s="606"/>
      <c r="E59" s="606"/>
      <c r="F59" s="606"/>
    </row>
    <row r="60" spans="2:6" ht="15.75" thickBot="1" x14ac:dyDescent="0.3">
      <c r="B60" s="610" t="s">
        <v>40</v>
      </c>
      <c r="C60" s="527">
        <f>C57+C54+C51+C48+C45+C42+C39</f>
        <v>128000</v>
      </c>
      <c r="D60" s="527">
        <f t="shared" ref="D60:F60" si="2">D57+D54+D51+D48+D45+D42+D39</f>
        <v>131600</v>
      </c>
      <c r="E60" s="527">
        <f t="shared" si="2"/>
        <v>135000</v>
      </c>
      <c r="F60" s="527">
        <f t="shared" si="2"/>
        <v>136000</v>
      </c>
    </row>
    <row r="61" spans="2:6" x14ac:dyDescent="0.25">
      <c r="B61" s="1331" t="s">
        <v>1014</v>
      </c>
      <c r="C61" s="1361" t="s">
        <v>966</v>
      </c>
      <c r="D61" s="1362"/>
      <c r="E61" s="1362"/>
      <c r="F61" s="1363"/>
    </row>
    <row r="62" spans="2:6" x14ac:dyDescent="0.25">
      <c r="B62" s="1332"/>
      <c r="C62" s="1364"/>
      <c r="D62" s="1365"/>
      <c r="E62" s="1365"/>
      <c r="F62" s="1366"/>
    </row>
    <row r="63" spans="2:6" ht="15.75" thickBot="1" x14ac:dyDescent="0.3">
      <c r="B63" s="1333"/>
      <c r="C63" s="1367"/>
      <c r="D63" s="1368"/>
      <c r="E63" s="1368"/>
      <c r="F63" s="1369"/>
    </row>
    <row r="64" spans="2:6" ht="15.75" thickBot="1" x14ac:dyDescent="0.3">
      <c r="B64" s="611" t="s">
        <v>41</v>
      </c>
      <c r="C64" s="612">
        <f>IF(C60-C31=0,0,"Error")</f>
        <v>0</v>
      </c>
      <c r="D64" s="612">
        <f>IF(D60-D31=0,0,"Error")</f>
        <v>0</v>
      </c>
      <c r="E64" s="612">
        <f>IF(E60-E31=0,0,"Error")</f>
        <v>0</v>
      </c>
      <c r="F64" s="612">
        <f>IF(F60-F31=0,0,"Error")</f>
        <v>0</v>
      </c>
    </row>
    <row r="65" spans="1:6" ht="15.75" thickBot="1" x14ac:dyDescent="0.3">
      <c r="B65" s="251" t="s">
        <v>67</v>
      </c>
      <c r="C65" s="1370" t="s">
        <v>967</v>
      </c>
      <c r="D65" s="1371"/>
      <c r="E65" s="1371"/>
      <c r="F65" s="1372"/>
    </row>
    <row r="66" spans="1:6" ht="15.75" thickBot="1" x14ac:dyDescent="0.3">
      <c r="B66" s="1045" t="s">
        <v>68</v>
      </c>
      <c r="C66" s="1046"/>
      <c r="D66" s="1046"/>
      <c r="E66" s="1046"/>
      <c r="F66" s="1047"/>
    </row>
    <row r="67" spans="1:6" ht="15.75" thickBot="1" x14ac:dyDescent="0.3">
      <c r="B67" s="238" t="s">
        <v>968</v>
      </c>
      <c r="C67" s="239">
        <v>0.8</v>
      </c>
      <c r="D67" s="239">
        <v>1</v>
      </c>
      <c r="E67" s="239">
        <v>1</v>
      </c>
      <c r="F67" s="239">
        <v>1</v>
      </c>
    </row>
    <row r="68" spans="1:6" ht="30.75" thickBot="1" x14ac:dyDescent="0.3">
      <c r="A68" s="348"/>
      <c r="B68" s="385" t="s">
        <v>115</v>
      </c>
      <c r="C68" s="239" t="s">
        <v>116</v>
      </c>
      <c r="D68" s="239" t="s">
        <v>117</v>
      </c>
      <c r="E68" s="239" t="s">
        <v>117</v>
      </c>
      <c r="F68" s="239" t="s">
        <v>117</v>
      </c>
    </row>
    <row r="69" spans="1:6" ht="15.75" thickBot="1" x14ac:dyDescent="0.3">
      <c r="A69" s="348"/>
      <c r="B69" s="1306" t="s">
        <v>69</v>
      </c>
      <c r="C69" s="1307"/>
      <c r="D69" s="1307"/>
      <c r="E69" s="1307"/>
      <c r="F69" s="1308"/>
    </row>
    <row r="70" spans="1:6" ht="15.75" thickBot="1" x14ac:dyDescent="0.3">
      <c r="A70" s="348"/>
      <c r="B70" s="1373" t="s">
        <v>63</v>
      </c>
      <c r="C70" s="1374"/>
      <c r="D70" s="1374"/>
      <c r="E70" s="1374"/>
      <c r="F70" s="1375"/>
    </row>
    <row r="71" spans="1:6" ht="15.75" thickBot="1" x14ac:dyDescent="0.3">
      <c r="A71" s="348"/>
      <c r="B71" s="1373" t="s">
        <v>56</v>
      </c>
      <c r="C71" s="1374"/>
      <c r="D71" s="1374"/>
      <c r="E71" s="1374"/>
      <c r="F71" s="1375"/>
    </row>
    <row r="72" spans="1:6" ht="15.75" thickBot="1" x14ac:dyDescent="0.3">
      <c r="A72" s="348"/>
      <c r="B72" s="613" t="s">
        <v>969</v>
      </c>
      <c r="C72" s="1346" t="s">
        <v>970</v>
      </c>
      <c r="D72" s="1347"/>
      <c r="E72" s="1347"/>
      <c r="F72" s="1348"/>
    </row>
    <row r="73" spans="1:6" ht="15.75" thickBot="1" x14ac:dyDescent="0.3">
      <c r="A73" s="348"/>
      <c r="B73" s="601" t="s">
        <v>16</v>
      </c>
      <c r="C73" s="1346" t="str">
        <f>C72</f>
        <v>Blerje paisje dhe mobilje zyre</v>
      </c>
      <c r="D73" s="1347"/>
      <c r="E73" s="1347"/>
      <c r="F73" s="1348"/>
    </row>
    <row r="74" spans="1:6" ht="15.75" thickBot="1" x14ac:dyDescent="0.3">
      <c r="A74" s="348"/>
      <c r="B74" s="385" t="s">
        <v>17</v>
      </c>
      <c r="C74" s="1358" t="s">
        <v>971</v>
      </c>
      <c r="D74" s="1359"/>
      <c r="E74" s="1359"/>
      <c r="F74" s="1360"/>
    </row>
    <row r="75" spans="1:6" ht="15.75" thickBot="1" x14ac:dyDescent="0.3">
      <c r="A75" s="348"/>
      <c r="B75" s="385" t="s">
        <v>18</v>
      </c>
      <c r="C75" s="1033" t="s">
        <v>972</v>
      </c>
      <c r="D75" s="1034"/>
      <c r="E75" s="1034"/>
      <c r="F75" s="1035"/>
    </row>
    <row r="76" spans="1:6" x14ac:dyDescent="0.25">
      <c r="A76" s="348"/>
      <c r="B76" s="1294"/>
      <c r="C76" s="602">
        <v>2018</v>
      </c>
      <c r="D76" s="602">
        <v>2019</v>
      </c>
      <c r="E76" s="602">
        <v>2020</v>
      </c>
      <c r="F76" s="602">
        <v>2021</v>
      </c>
    </row>
    <row r="77" spans="1:6" ht="15.75" thickBot="1" x14ac:dyDescent="0.3">
      <c r="A77" s="348"/>
      <c r="B77" s="1295"/>
      <c r="C77" s="603" t="s">
        <v>10</v>
      </c>
      <c r="D77" s="603" t="s">
        <v>11</v>
      </c>
      <c r="E77" s="603" t="s">
        <v>11</v>
      </c>
      <c r="F77" s="603" t="s">
        <v>11</v>
      </c>
    </row>
    <row r="78" spans="1:6" ht="15.75" thickBot="1" x14ac:dyDescent="0.3">
      <c r="A78" s="348"/>
      <c r="B78" s="385" t="s">
        <v>19</v>
      </c>
      <c r="C78" s="308">
        <v>10</v>
      </c>
      <c r="D78" s="308">
        <v>3</v>
      </c>
      <c r="E78" s="308"/>
      <c r="F78" s="308"/>
    </row>
    <row r="79" spans="1:6" ht="15.75" thickBot="1" x14ac:dyDescent="0.3">
      <c r="A79" s="348"/>
      <c r="B79" s="385" t="s">
        <v>20</v>
      </c>
      <c r="C79" s="308">
        <v>5000</v>
      </c>
      <c r="D79" s="308">
        <v>1400</v>
      </c>
      <c r="E79" s="308"/>
      <c r="F79" s="308"/>
    </row>
    <row r="80" spans="1:6" ht="15.75" thickBot="1" x14ac:dyDescent="0.3">
      <c r="A80" s="348"/>
      <c r="B80" s="385" t="s">
        <v>21</v>
      </c>
      <c r="C80" s="308">
        <f>C79/C78</f>
        <v>500</v>
      </c>
      <c r="D80" s="308">
        <f t="shared" ref="D80:F80" si="3">D79/D78</f>
        <v>466.66666666666669</v>
      </c>
      <c r="E80" s="308" t="e">
        <f t="shared" si="3"/>
        <v>#DIV/0!</v>
      </c>
      <c r="F80" s="308" t="e">
        <f t="shared" si="3"/>
        <v>#DIV/0!</v>
      </c>
    </row>
    <row r="81" spans="1:12" ht="15.75" thickBot="1" x14ac:dyDescent="0.3">
      <c r="A81" s="348"/>
      <c r="B81" s="385" t="s">
        <v>22</v>
      </c>
      <c r="C81" s="566" t="s">
        <v>23</v>
      </c>
      <c r="D81" s="604">
        <f>D78/C78-1</f>
        <v>-0.7</v>
      </c>
      <c r="E81" s="604">
        <f t="shared" ref="E81:F83" si="4">E78/D78-1</f>
        <v>-1</v>
      </c>
      <c r="F81" s="604" t="e">
        <f t="shared" si="4"/>
        <v>#DIV/0!</v>
      </c>
      <c r="H81" s="163"/>
      <c r="I81" s="163"/>
      <c r="J81" s="163"/>
      <c r="K81" s="163"/>
      <c r="L81" s="163"/>
    </row>
    <row r="82" spans="1:12" ht="15.75" thickBot="1" x14ac:dyDescent="0.3">
      <c r="A82" s="348"/>
      <c r="B82" s="385" t="s">
        <v>24</v>
      </c>
      <c r="C82" s="566" t="s">
        <v>23</v>
      </c>
      <c r="D82" s="604">
        <f>D79/C79-1</f>
        <v>-0.72</v>
      </c>
      <c r="E82" s="604">
        <f t="shared" si="4"/>
        <v>-1</v>
      </c>
      <c r="F82" s="604" t="e">
        <f t="shared" si="4"/>
        <v>#DIV/0!</v>
      </c>
    </row>
    <row r="83" spans="1:12" ht="15.75" thickBot="1" x14ac:dyDescent="0.3">
      <c r="A83" s="348"/>
      <c r="B83" s="385" t="s">
        <v>25</v>
      </c>
      <c r="C83" s="566" t="s">
        <v>23</v>
      </c>
      <c r="D83" s="604">
        <f>D80/C80-1</f>
        <v>-6.6666666666666652E-2</v>
      </c>
      <c r="E83" s="604" t="e">
        <f t="shared" si="4"/>
        <v>#DIV/0!</v>
      </c>
      <c r="F83" s="604" t="e">
        <f t="shared" si="4"/>
        <v>#DIV/0!</v>
      </c>
    </row>
    <row r="84" spans="1:12" ht="15.75" thickBot="1" x14ac:dyDescent="0.3">
      <c r="A84" s="348"/>
      <c r="B84" s="1030" t="s">
        <v>118</v>
      </c>
      <c r="C84" s="1031"/>
      <c r="D84" s="1031"/>
      <c r="E84" s="1031"/>
      <c r="F84" s="1032"/>
    </row>
    <row r="85" spans="1:12" x14ac:dyDescent="0.25">
      <c r="A85" s="348"/>
      <c r="B85" s="1294"/>
      <c r="C85" s="602">
        <v>2018</v>
      </c>
      <c r="D85" s="602">
        <v>2019</v>
      </c>
      <c r="E85" s="602">
        <v>2020</v>
      </c>
      <c r="F85" s="602">
        <v>2021</v>
      </c>
    </row>
    <row r="86" spans="1:12" ht="15.75" thickBot="1" x14ac:dyDescent="0.3">
      <c r="A86" s="348"/>
      <c r="B86" s="1295"/>
      <c r="C86" s="603" t="s">
        <v>10</v>
      </c>
      <c r="D86" s="603" t="s">
        <v>11</v>
      </c>
      <c r="E86" s="603" t="s">
        <v>11</v>
      </c>
      <c r="F86" s="603" t="s">
        <v>11</v>
      </c>
    </row>
    <row r="87" spans="1:12" ht="15.75" thickBot="1" x14ac:dyDescent="0.3">
      <c r="A87" s="348"/>
      <c r="B87" s="605" t="s">
        <v>58</v>
      </c>
      <c r="C87" s="606"/>
      <c r="D87" s="606"/>
      <c r="E87" s="606"/>
      <c r="F87" s="606"/>
    </row>
    <row r="88" spans="1:12" ht="15.75" thickBot="1" x14ac:dyDescent="0.3">
      <c r="A88" s="348"/>
      <c r="B88" s="605" t="s">
        <v>59</v>
      </c>
      <c r="C88" s="527">
        <v>5000</v>
      </c>
      <c r="D88" s="606">
        <v>1400</v>
      </c>
      <c r="E88" s="606"/>
      <c r="F88" s="606"/>
    </row>
    <row r="89" spans="1:12" ht="15.75" thickBot="1" x14ac:dyDescent="0.3">
      <c r="A89" s="348"/>
      <c r="B89" s="610" t="s">
        <v>40</v>
      </c>
      <c r="C89" s="527">
        <f>C88+C87</f>
        <v>5000</v>
      </c>
      <c r="D89" s="527">
        <f t="shared" ref="D89:F89" si="5">D88+D87</f>
        <v>1400</v>
      </c>
      <c r="E89" s="527">
        <f t="shared" si="5"/>
        <v>0</v>
      </c>
      <c r="F89" s="527">
        <f t="shared" si="5"/>
        <v>0</v>
      </c>
    </row>
    <row r="90" spans="1:12" x14ac:dyDescent="0.25">
      <c r="A90" s="348"/>
      <c r="B90" s="1331" t="s">
        <v>60</v>
      </c>
      <c r="C90" s="1349" t="s">
        <v>973</v>
      </c>
      <c r="D90" s="1350"/>
      <c r="E90" s="1350"/>
      <c r="F90" s="1351"/>
    </row>
    <row r="91" spans="1:12" x14ac:dyDescent="0.25">
      <c r="A91" s="348"/>
      <c r="B91" s="1332"/>
      <c r="C91" s="1352"/>
      <c r="D91" s="1353"/>
      <c r="E91" s="1353"/>
      <c r="F91" s="1354"/>
    </row>
    <row r="92" spans="1:12" ht="15.75" thickBot="1" x14ac:dyDescent="0.3">
      <c r="A92" s="348"/>
      <c r="B92" s="1333"/>
      <c r="C92" s="1355"/>
      <c r="D92" s="1356"/>
      <c r="E92" s="1356"/>
      <c r="F92" s="1357"/>
    </row>
    <row r="93" spans="1:12" ht="15.75" thickBot="1" x14ac:dyDescent="0.3">
      <c r="A93" s="348"/>
      <c r="B93" s="613" t="s">
        <v>974</v>
      </c>
      <c r="C93" s="1346" t="s">
        <v>975</v>
      </c>
      <c r="D93" s="1347"/>
      <c r="E93" s="1347"/>
      <c r="F93" s="1348"/>
    </row>
    <row r="94" spans="1:12" ht="15.75" thickBot="1" x14ac:dyDescent="0.3">
      <c r="A94" s="348"/>
      <c r="B94" s="601" t="s">
        <v>42</v>
      </c>
      <c r="C94" s="1346" t="str">
        <f>C93</f>
        <v>Blerje paisje elektronike</v>
      </c>
      <c r="D94" s="1034"/>
      <c r="E94" s="1034"/>
      <c r="F94" s="1035"/>
    </row>
    <row r="95" spans="1:12" ht="15.75" thickBot="1" x14ac:dyDescent="0.3">
      <c r="A95" s="348"/>
      <c r="B95" s="385" t="s">
        <v>17</v>
      </c>
      <c r="C95" s="1045" t="s">
        <v>976</v>
      </c>
      <c r="D95" s="1046"/>
      <c r="E95" s="1046"/>
      <c r="F95" s="1047"/>
    </row>
    <row r="96" spans="1:12" ht="15.75" thickBot="1" x14ac:dyDescent="0.3">
      <c r="A96" s="348"/>
      <c r="B96" s="385" t="s">
        <v>18</v>
      </c>
      <c r="C96" s="1045" t="s">
        <v>977</v>
      </c>
      <c r="D96" s="1046"/>
      <c r="E96" s="1046"/>
      <c r="F96" s="1047"/>
    </row>
    <row r="97" spans="1:12" x14ac:dyDescent="0.25">
      <c r="A97" s="348"/>
      <c r="B97" s="1294"/>
      <c r="C97" s="602">
        <v>2018</v>
      </c>
      <c r="D97" s="602">
        <v>2019</v>
      </c>
      <c r="E97" s="602">
        <v>2020</v>
      </c>
      <c r="F97" s="602">
        <v>2021</v>
      </c>
    </row>
    <row r="98" spans="1:12" ht="15.75" thickBot="1" x14ac:dyDescent="0.3">
      <c r="A98" s="348"/>
      <c r="B98" s="1295"/>
      <c r="C98" s="603" t="s">
        <v>10</v>
      </c>
      <c r="D98" s="603" t="s">
        <v>11</v>
      </c>
      <c r="E98" s="603" t="s">
        <v>11</v>
      </c>
      <c r="F98" s="603" t="s">
        <v>11</v>
      </c>
    </row>
    <row r="99" spans="1:12" ht="15.75" thickBot="1" x14ac:dyDescent="0.3">
      <c r="A99" s="348"/>
      <c r="B99" s="385" t="s">
        <v>19</v>
      </c>
      <c r="C99" s="308">
        <v>7</v>
      </c>
      <c r="D99" s="308">
        <v>12</v>
      </c>
      <c r="E99" s="308"/>
      <c r="F99" s="308"/>
    </row>
    <row r="100" spans="1:12" ht="15.75" thickBot="1" x14ac:dyDescent="0.3">
      <c r="A100" s="348"/>
      <c r="B100" s="385" t="s">
        <v>20</v>
      </c>
      <c r="C100" s="308">
        <v>900</v>
      </c>
      <c r="D100" s="308">
        <v>2000</v>
      </c>
      <c r="E100" s="308"/>
      <c r="F100" s="308"/>
    </row>
    <row r="101" spans="1:12" ht="15.75" thickBot="1" x14ac:dyDescent="0.3">
      <c r="A101" s="348"/>
      <c r="B101" s="385" t="s">
        <v>21</v>
      </c>
      <c r="C101" s="308">
        <f>C100/C99</f>
        <v>128.57142857142858</v>
      </c>
      <c r="D101" s="308">
        <f t="shared" ref="D101:F101" si="6">D100/D99</f>
        <v>166.66666666666666</v>
      </c>
      <c r="E101" s="308" t="e">
        <f t="shared" si="6"/>
        <v>#DIV/0!</v>
      </c>
      <c r="F101" s="308" t="e">
        <f t="shared" si="6"/>
        <v>#DIV/0!</v>
      </c>
    </row>
    <row r="102" spans="1:12" ht="15.75" thickBot="1" x14ac:dyDescent="0.3">
      <c r="A102" s="348"/>
      <c r="B102" s="385" t="s">
        <v>22</v>
      </c>
      <c r="C102" s="566" t="s">
        <v>23</v>
      </c>
      <c r="D102" s="604">
        <f>D99/C99-1</f>
        <v>0.71428571428571419</v>
      </c>
      <c r="E102" s="604">
        <f t="shared" ref="E102:F104" si="7">E99/D99-1</f>
        <v>-1</v>
      </c>
      <c r="F102" s="604" t="e">
        <f t="shared" si="7"/>
        <v>#DIV/0!</v>
      </c>
      <c r="H102" s="163"/>
      <c r="I102" s="163"/>
      <c r="J102" s="163"/>
      <c r="K102" s="163"/>
      <c r="L102" s="163"/>
    </row>
    <row r="103" spans="1:12" ht="15.75" thickBot="1" x14ac:dyDescent="0.3">
      <c r="A103" s="348"/>
      <c r="B103" s="385" t="s">
        <v>24</v>
      </c>
      <c r="C103" s="566" t="s">
        <v>23</v>
      </c>
      <c r="D103" s="604">
        <f>D100/C100-1</f>
        <v>1.2222222222222223</v>
      </c>
      <c r="E103" s="604">
        <f t="shared" si="7"/>
        <v>-1</v>
      </c>
      <c r="F103" s="604" t="e">
        <f t="shared" si="7"/>
        <v>#DIV/0!</v>
      </c>
    </row>
    <row r="104" spans="1:12" ht="15.75" thickBot="1" x14ac:dyDescent="0.3">
      <c r="A104" s="348"/>
      <c r="B104" s="385" t="s">
        <v>25</v>
      </c>
      <c r="C104" s="566" t="s">
        <v>23</v>
      </c>
      <c r="D104" s="604">
        <f>D101/C101-1</f>
        <v>0.29629629629629606</v>
      </c>
      <c r="E104" s="604" t="e">
        <f t="shared" si="7"/>
        <v>#DIV/0!</v>
      </c>
      <c r="F104" s="604" t="e">
        <f t="shared" si="7"/>
        <v>#DIV/0!</v>
      </c>
    </row>
    <row r="105" spans="1:12" ht="15.75" thickBot="1" x14ac:dyDescent="0.3">
      <c r="A105" s="348"/>
      <c r="B105" s="1030" t="s">
        <v>891</v>
      </c>
      <c r="C105" s="1031"/>
      <c r="D105" s="1031"/>
      <c r="E105" s="1031"/>
      <c r="F105" s="1032"/>
    </row>
    <row r="106" spans="1:12" x14ac:dyDescent="0.25">
      <c r="A106" s="348"/>
      <c r="B106" s="1294"/>
      <c r="C106" s="602">
        <v>2018</v>
      </c>
      <c r="D106" s="602">
        <v>2019</v>
      </c>
      <c r="E106" s="602">
        <v>2020</v>
      </c>
      <c r="F106" s="602">
        <v>2021</v>
      </c>
    </row>
    <row r="107" spans="1:12" ht="15.75" thickBot="1" x14ac:dyDescent="0.3">
      <c r="A107" s="348"/>
      <c r="B107" s="1295"/>
      <c r="C107" s="603" t="s">
        <v>10</v>
      </c>
      <c r="D107" s="603" t="s">
        <v>11</v>
      </c>
      <c r="E107" s="603" t="s">
        <v>11</v>
      </c>
      <c r="F107" s="603" t="s">
        <v>11</v>
      </c>
    </row>
    <row r="108" spans="1:12" ht="15.75" thickBot="1" x14ac:dyDescent="0.3">
      <c r="A108" s="348"/>
      <c r="B108" s="605" t="s">
        <v>58</v>
      </c>
      <c r="C108" s="614"/>
      <c r="D108" s="606"/>
      <c r="E108" s="606"/>
      <c r="F108" s="606"/>
    </row>
    <row r="109" spans="1:12" ht="15.75" thickBot="1" x14ac:dyDescent="0.3">
      <c r="A109" s="348"/>
      <c r="B109" s="605" t="s">
        <v>59</v>
      </c>
      <c r="C109" s="615">
        <v>900</v>
      </c>
      <c r="D109" s="606">
        <v>2000</v>
      </c>
      <c r="E109" s="606"/>
      <c r="F109" s="606"/>
    </row>
    <row r="110" spans="1:12" ht="15.75" thickBot="1" x14ac:dyDescent="0.3">
      <c r="A110" s="348"/>
      <c r="B110" s="610" t="s">
        <v>43</v>
      </c>
      <c r="C110" s="615">
        <f>C109+C108</f>
        <v>900</v>
      </c>
      <c r="D110" s="527">
        <f t="shared" ref="D110:F110" si="8">D109+D108</f>
        <v>2000</v>
      </c>
      <c r="E110" s="527">
        <f t="shared" si="8"/>
        <v>0</v>
      </c>
      <c r="F110" s="527">
        <f t="shared" si="8"/>
        <v>0</v>
      </c>
    </row>
    <row r="111" spans="1:12" x14ac:dyDescent="0.25">
      <c r="A111" s="348"/>
      <c r="B111" s="1331" t="s">
        <v>119</v>
      </c>
      <c r="C111" s="1334"/>
      <c r="D111" s="1335"/>
      <c r="E111" s="1335"/>
      <c r="F111" s="1336"/>
    </row>
    <row r="112" spans="1:12" x14ac:dyDescent="0.25">
      <c r="A112" s="348"/>
      <c r="B112" s="1332"/>
      <c r="C112" s="1337"/>
      <c r="D112" s="1338"/>
      <c r="E112" s="1338"/>
      <c r="F112" s="1339"/>
    </row>
    <row r="113" spans="1:12" ht="15.75" thickBot="1" x14ac:dyDescent="0.3">
      <c r="A113" s="348"/>
      <c r="B113" s="1333"/>
      <c r="C113" s="1340"/>
      <c r="D113" s="1341"/>
      <c r="E113" s="1341"/>
      <c r="F113" s="1342"/>
    </row>
    <row r="114" spans="1:12" ht="15.75" thickBot="1" x14ac:dyDescent="0.3">
      <c r="A114" s="348"/>
      <c r="B114" s="613" t="s">
        <v>978</v>
      </c>
      <c r="C114" s="1343" t="s">
        <v>979</v>
      </c>
      <c r="D114" s="1344"/>
      <c r="E114" s="1344"/>
      <c r="F114" s="1345"/>
    </row>
    <row r="115" spans="1:12" ht="15.75" thickBot="1" x14ac:dyDescent="0.3">
      <c r="A115" s="348"/>
      <c r="B115" s="601" t="s">
        <v>44</v>
      </c>
      <c r="C115" s="1346" t="s">
        <v>979</v>
      </c>
      <c r="D115" s="1034"/>
      <c r="E115" s="1034"/>
      <c r="F115" s="1035"/>
    </row>
    <row r="116" spans="1:12" ht="15.75" thickBot="1" x14ac:dyDescent="0.3">
      <c r="A116" s="348"/>
      <c r="B116" s="385" t="s">
        <v>17</v>
      </c>
      <c r="C116" s="1045" t="s">
        <v>980</v>
      </c>
      <c r="D116" s="1046"/>
      <c r="E116" s="1046"/>
      <c r="F116" s="1047"/>
    </row>
    <row r="117" spans="1:12" ht="15.75" thickBot="1" x14ac:dyDescent="0.3">
      <c r="A117" s="348"/>
      <c r="B117" s="385" t="s">
        <v>18</v>
      </c>
      <c r="C117" s="1045" t="s">
        <v>981</v>
      </c>
      <c r="D117" s="1046"/>
      <c r="E117" s="1046"/>
      <c r="F117" s="1047"/>
    </row>
    <row r="118" spans="1:12" x14ac:dyDescent="0.25">
      <c r="A118" s="348"/>
      <c r="B118" s="1294"/>
      <c r="C118" s="602">
        <v>2018</v>
      </c>
      <c r="D118" s="602">
        <v>2019</v>
      </c>
      <c r="E118" s="602">
        <v>2020</v>
      </c>
      <c r="F118" s="602">
        <v>2021</v>
      </c>
    </row>
    <row r="119" spans="1:12" ht="15.75" thickBot="1" x14ac:dyDescent="0.3">
      <c r="A119" s="348"/>
      <c r="B119" s="1295"/>
      <c r="C119" s="603" t="s">
        <v>10</v>
      </c>
      <c r="D119" s="603" t="s">
        <v>11</v>
      </c>
      <c r="E119" s="603" t="s">
        <v>11</v>
      </c>
      <c r="F119" s="603" t="s">
        <v>11</v>
      </c>
    </row>
    <row r="120" spans="1:12" ht="15.75" thickBot="1" x14ac:dyDescent="0.3">
      <c r="A120" s="348"/>
      <c r="B120" s="385" t="s">
        <v>19</v>
      </c>
      <c r="C120" s="308">
        <v>1</v>
      </c>
      <c r="D120" s="308"/>
      <c r="E120" s="308"/>
      <c r="F120" s="308"/>
    </row>
    <row r="121" spans="1:12" ht="15.75" thickBot="1" x14ac:dyDescent="0.3">
      <c r="A121" s="348"/>
      <c r="B121" s="385" t="s">
        <v>20</v>
      </c>
      <c r="C121" s="308">
        <v>2200</v>
      </c>
      <c r="D121" s="308"/>
      <c r="E121" s="308"/>
      <c r="F121" s="308"/>
    </row>
    <row r="122" spans="1:12" ht="15.75" thickBot="1" x14ac:dyDescent="0.3">
      <c r="A122" s="348"/>
      <c r="B122" s="385" t="s">
        <v>21</v>
      </c>
      <c r="C122" s="308">
        <f>C121/C120</f>
        <v>2200</v>
      </c>
      <c r="D122" s="308" t="e">
        <f t="shared" ref="D122:F122" si="9">D121/D120</f>
        <v>#DIV/0!</v>
      </c>
      <c r="E122" s="308" t="e">
        <f t="shared" si="9"/>
        <v>#DIV/0!</v>
      </c>
      <c r="F122" s="308" t="e">
        <f t="shared" si="9"/>
        <v>#DIV/0!</v>
      </c>
    </row>
    <row r="123" spans="1:12" ht="15.75" thickBot="1" x14ac:dyDescent="0.3">
      <c r="A123" s="348"/>
      <c r="B123" s="385" t="s">
        <v>22</v>
      </c>
      <c r="C123" s="566" t="s">
        <v>23</v>
      </c>
      <c r="D123" s="604">
        <f>D120/C120-1</f>
        <v>-1</v>
      </c>
      <c r="E123" s="604" t="e">
        <f t="shared" ref="E123:F125" si="10">E120/D120-1</f>
        <v>#DIV/0!</v>
      </c>
      <c r="F123" s="604" t="e">
        <f t="shared" si="10"/>
        <v>#DIV/0!</v>
      </c>
      <c r="H123" s="163"/>
      <c r="I123" s="163"/>
      <c r="J123" s="163"/>
      <c r="K123" s="163"/>
      <c r="L123" s="163"/>
    </row>
    <row r="124" spans="1:12" ht="15.75" thickBot="1" x14ac:dyDescent="0.3">
      <c r="A124" s="348"/>
      <c r="B124" s="385" t="s">
        <v>24</v>
      </c>
      <c r="C124" s="566" t="s">
        <v>23</v>
      </c>
      <c r="D124" s="604">
        <f>D121/C121-1</f>
        <v>-1</v>
      </c>
      <c r="E124" s="604" t="e">
        <f t="shared" si="10"/>
        <v>#DIV/0!</v>
      </c>
      <c r="F124" s="604" t="e">
        <f t="shared" si="10"/>
        <v>#DIV/0!</v>
      </c>
    </row>
    <row r="125" spans="1:12" ht="15.75" thickBot="1" x14ac:dyDescent="0.3">
      <c r="A125" s="348"/>
      <c r="B125" s="385" t="s">
        <v>25</v>
      </c>
      <c r="C125" s="566" t="s">
        <v>23</v>
      </c>
      <c r="D125" s="604" t="e">
        <f>D122/C122-1</f>
        <v>#DIV/0!</v>
      </c>
      <c r="E125" s="604" t="e">
        <f t="shared" si="10"/>
        <v>#DIV/0!</v>
      </c>
      <c r="F125" s="604" t="e">
        <f t="shared" si="10"/>
        <v>#DIV/0!</v>
      </c>
    </row>
    <row r="126" spans="1:12" ht="15.75" thickBot="1" x14ac:dyDescent="0.3">
      <c r="A126" s="348"/>
      <c r="B126" s="1030" t="s">
        <v>982</v>
      </c>
      <c r="C126" s="1031"/>
      <c r="D126" s="1031"/>
      <c r="E126" s="1031"/>
      <c r="F126" s="1032"/>
    </row>
    <row r="127" spans="1:12" x14ac:dyDescent="0.25">
      <c r="A127" s="348"/>
      <c r="B127" s="1294"/>
      <c r="C127" s="602">
        <v>2018</v>
      </c>
      <c r="D127" s="602">
        <v>2019</v>
      </c>
      <c r="E127" s="602">
        <v>2020</v>
      </c>
      <c r="F127" s="602">
        <v>2021</v>
      </c>
    </row>
    <row r="128" spans="1:12" ht="15.75" thickBot="1" x14ac:dyDescent="0.3">
      <c r="A128" s="348"/>
      <c r="B128" s="1295"/>
      <c r="C128" s="603" t="s">
        <v>10</v>
      </c>
      <c r="D128" s="603" t="s">
        <v>11</v>
      </c>
      <c r="E128" s="603" t="s">
        <v>11</v>
      </c>
      <c r="F128" s="603" t="s">
        <v>11</v>
      </c>
    </row>
    <row r="129" spans="1:12" ht="15.75" thickBot="1" x14ac:dyDescent="0.3">
      <c r="A129" s="348"/>
      <c r="B129" s="605" t="s">
        <v>58</v>
      </c>
      <c r="C129" s="614">
        <f>C121</f>
        <v>2200</v>
      </c>
      <c r="D129" s="606"/>
      <c r="E129" s="606"/>
      <c r="F129" s="606"/>
    </row>
    <row r="130" spans="1:12" ht="15.75" thickBot="1" x14ac:dyDescent="0.3">
      <c r="A130" s="348"/>
      <c r="B130" s="605" t="s">
        <v>59</v>
      </c>
      <c r="C130" s="615"/>
      <c r="D130" s="606"/>
      <c r="E130" s="606"/>
      <c r="F130" s="606"/>
    </row>
    <row r="131" spans="1:12" ht="15.75" thickBot="1" x14ac:dyDescent="0.3">
      <c r="A131" s="348"/>
      <c r="B131" s="610" t="s">
        <v>52</v>
      </c>
      <c r="C131" s="615">
        <f>C130+C129</f>
        <v>2200</v>
      </c>
      <c r="D131" s="527">
        <f t="shared" ref="D131:F131" si="11">D130+D129</f>
        <v>0</v>
      </c>
      <c r="E131" s="527">
        <f t="shared" si="11"/>
        <v>0</v>
      </c>
      <c r="F131" s="527">
        <f t="shared" si="11"/>
        <v>0</v>
      </c>
    </row>
    <row r="132" spans="1:12" x14ac:dyDescent="0.25">
      <c r="A132" s="348"/>
      <c r="B132" s="1331" t="s">
        <v>65</v>
      </c>
      <c r="C132" s="1334"/>
      <c r="D132" s="1335"/>
      <c r="E132" s="1335"/>
      <c r="F132" s="1336"/>
    </row>
    <row r="133" spans="1:12" x14ac:dyDescent="0.25">
      <c r="A133" s="348"/>
      <c r="B133" s="1332"/>
      <c r="C133" s="1337"/>
      <c r="D133" s="1338"/>
      <c r="E133" s="1338"/>
      <c r="F133" s="1339"/>
    </row>
    <row r="134" spans="1:12" ht="15.75" thickBot="1" x14ac:dyDescent="0.3">
      <c r="A134" s="348"/>
      <c r="B134" s="1333"/>
      <c r="C134" s="1340"/>
      <c r="D134" s="1341"/>
      <c r="E134" s="1341"/>
      <c r="F134" s="1342"/>
    </row>
    <row r="135" spans="1:12" ht="15.75" thickBot="1" x14ac:dyDescent="0.3">
      <c r="A135" s="348"/>
      <c r="B135" s="613" t="s">
        <v>983</v>
      </c>
      <c r="C135" s="1346" t="s">
        <v>984</v>
      </c>
      <c r="D135" s="1347"/>
      <c r="E135" s="1347"/>
      <c r="F135" s="1348"/>
    </row>
    <row r="136" spans="1:12" ht="15.75" thickBot="1" x14ac:dyDescent="0.3">
      <c r="A136" s="348"/>
      <c r="B136" s="601" t="s">
        <v>53</v>
      </c>
      <c r="C136" s="1346" t="str">
        <f>C135</f>
        <v>Software aktiviteti financiar</v>
      </c>
      <c r="D136" s="1034"/>
      <c r="E136" s="1034"/>
      <c r="F136" s="1035"/>
    </row>
    <row r="137" spans="1:12" ht="15.75" thickBot="1" x14ac:dyDescent="0.3">
      <c r="A137" s="348"/>
      <c r="B137" s="385" t="s">
        <v>17</v>
      </c>
      <c r="C137" s="1045" t="s">
        <v>985</v>
      </c>
      <c r="D137" s="1046"/>
      <c r="E137" s="1046"/>
      <c r="F137" s="1047"/>
    </row>
    <row r="138" spans="1:12" ht="15.75" thickBot="1" x14ac:dyDescent="0.3">
      <c r="A138" s="348"/>
      <c r="B138" s="385" t="s">
        <v>18</v>
      </c>
      <c r="C138" s="1045" t="s">
        <v>981</v>
      </c>
      <c r="D138" s="1046"/>
      <c r="E138" s="1046"/>
      <c r="F138" s="1047"/>
    </row>
    <row r="139" spans="1:12" x14ac:dyDescent="0.25">
      <c r="A139" s="348"/>
      <c r="B139" s="1294"/>
      <c r="C139" s="602">
        <v>2018</v>
      </c>
      <c r="D139" s="602">
        <v>2019</v>
      </c>
      <c r="E139" s="602">
        <v>2020</v>
      </c>
      <c r="F139" s="602">
        <v>2021</v>
      </c>
    </row>
    <row r="140" spans="1:12" ht="15.75" thickBot="1" x14ac:dyDescent="0.3">
      <c r="A140" s="348"/>
      <c r="B140" s="1295"/>
      <c r="C140" s="603" t="s">
        <v>10</v>
      </c>
      <c r="D140" s="603" t="s">
        <v>11</v>
      </c>
      <c r="E140" s="603" t="s">
        <v>11</v>
      </c>
      <c r="F140" s="603" t="s">
        <v>11</v>
      </c>
    </row>
    <row r="141" spans="1:12" ht="15.75" thickBot="1" x14ac:dyDescent="0.3">
      <c r="A141" s="348"/>
      <c r="B141" s="385" t="s">
        <v>19</v>
      </c>
      <c r="C141" s="308">
        <v>1</v>
      </c>
      <c r="D141" s="308"/>
      <c r="E141" s="308"/>
      <c r="F141" s="308"/>
    </row>
    <row r="142" spans="1:12" ht="15.75" thickBot="1" x14ac:dyDescent="0.3">
      <c r="A142" s="348"/>
      <c r="B142" s="385" t="s">
        <v>20</v>
      </c>
      <c r="C142" s="308">
        <v>300</v>
      </c>
      <c r="D142" s="308"/>
      <c r="E142" s="308"/>
      <c r="F142" s="308"/>
    </row>
    <row r="143" spans="1:12" ht="15.75" thickBot="1" x14ac:dyDescent="0.3">
      <c r="A143" s="348"/>
      <c r="B143" s="385" t="s">
        <v>21</v>
      </c>
      <c r="C143" s="308">
        <f>C142/C141</f>
        <v>300</v>
      </c>
      <c r="D143" s="308" t="e">
        <f t="shared" ref="D143:F143" si="12">D142/D141</f>
        <v>#DIV/0!</v>
      </c>
      <c r="E143" s="308" t="e">
        <f t="shared" si="12"/>
        <v>#DIV/0!</v>
      </c>
      <c r="F143" s="308" t="e">
        <f t="shared" si="12"/>
        <v>#DIV/0!</v>
      </c>
    </row>
    <row r="144" spans="1:12" ht="15.75" thickBot="1" x14ac:dyDescent="0.3">
      <c r="A144" s="348"/>
      <c r="B144" s="385" t="s">
        <v>22</v>
      </c>
      <c r="C144" s="566" t="s">
        <v>23</v>
      </c>
      <c r="D144" s="604">
        <f>D141/C141-1</f>
        <v>-1</v>
      </c>
      <c r="E144" s="604" t="e">
        <f t="shared" ref="E144:F146" si="13">E141/D141-1</f>
        <v>#DIV/0!</v>
      </c>
      <c r="F144" s="604" t="e">
        <f t="shared" si="13"/>
        <v>#DIV/0!</v>
      </c>
      <c r="H144" s="163"/>
      <c r="I144" s="163"/>
      <c r="J144" s="163"/>
      <c r="K144" s="163"/>
      <c r="L144" s="163"/>
    </row>
    <row r="145" spans="1:6" ht="15.75" thickBot="1" x14ac:dyDescent="0.3">
      <c r="A145" s="348"/>
      <c r="B145" s="385" t="s">
        <v>24</v>
      </c>
      <c r="C145" s="566" t="s">
        <v>23</v>
      </c>
      <c r="D145" s="604">
        <f>D142/C142-1</f>
        <v>-1</v>
      </c>
      <c r="E145" s="604" t="e">
        <f t="shared" si="13"/>
        <v>#DIV/0!</v>
      </c>
      <c r="F145" s="604" t="e">
        <f t="shared" si="13"/>
        <v>#DIV/0!</v>
      </c>
    </row>
    <row r="146" spans="1:6" ht="15.75" thickBot="1" x14ac:dyDescent="0.3">
      <c r="A146" s="348"/>
      <c r="B146" s="385" t="s">
        <v>25</v>
      </c>
      <c r="C146" s="566" t="s">
        <v>23</v>
      </c>
      <c r="D146" s="604" t="e">
        <f>D143/C143-1</f>
        <v>#DIV/0!</v>
      </c>
      <c r="E146" s="604" t="e">
        <f t="shared" si="13"/>
        <v>#DIV/0!</v>
      </c>
      <c r="F146" s="604" t="e">
        <f t="shared" si="13"/>
        <v>#DIV/0!</v>
      </c>
    </row>
    <row r="147" spans="1:6" ht="15.75" thickBot="1" x14ac:dyDescent="0.3">
      <c r="A147" s="348"/>
      <c r="B147" s="1030" t="s">
        <v>894</v>
      </c>
      <c r="C147" s="1031"/>
      <c r="D147" s="1031"/>
      <c r="E147" s="1031"/>
      <c r="F147" s="1032"/>
    </row>
    <row r="148" spans="1:6" x14ac:dyDescent="0.25">
      <c r="A148" s="348"/>
      <c r="B148" s="1294"/>
      <c r="C148" s="602">
        <v>2018</v>
      </c>
      <c r="D148" s="602">
        <v>2019</v>
      </c>
      <c r="E148" s="602">
        <v>2020</v>
      </c>
      <c r="F148" s="602">
        <v>2021</v>
      </c>
    </row>
    <row r="149" spans="1:6" ht="15.75" thickBot="1" x14ac:dyDescent="0.3">
      <c r="A149" s="348"/>
      <c r="B149" s="1295"/>
      <c r="C149" s="603" t="s">
        <v>10</v>
      </c>
      <c r="D149" s="603" t="s">
        <v>11</v>
      </c>
      <c r="E149" s="603" t="s">
        <v>11</v>
      </c>
      <c r="F149" s="603" t="s">
        <v>11</v>
      </c>
    </row>
    <row r="150" spans="1:6" ht="15.75" thickBot="1" x14ac:dyDescent="0.3">
      <c r="A150" s="348"/>
      <c r="B150" s="605" t="s">
        <v>58</v>
      </c>
      <c r="C150" s="614">
        <f>C142</f>
        <v>300</v>
      </c>
      <c r="D150" s="606"/>
      <c r="E150" s="606"/>
      <c r="F150" s="606"/>
    </row>
    <row r="151" spans="1:6" ht="15.75" thickBot="1" x14ac:dyDescent="0.3">
      <c r="A151" s="348"/>
      <c r="B151" s="605" t="s">
        <v>59</v>
      </c>
      <c r="C151" s="615"/>
      <c r="D151" s="606"/>
      <c r="E151" s="606"/>
      <c r="F151" s="606"/>
    </row>
    <row r="152" spans="1:6" ht="15.75" thickBot="1" x14ac:dyDescent="0.3">
      <c r="A152" s="348"/>
      <c r="B152" s="610" t="s">
        <v>54</v>
      </c>
      <c r="C152" s="615">
        <f>C151+C150</f>
        <v>300</v>
      </c>
      <c r="D152" s="527">
        <f t="shared" ref="D152:F152" si="14">D151+D150</f>
        <v>0</v>
      </c>
      <c r="E152" s="527">
        <f t="shared" si="14"/>
        <v>0</v>
      </c>
      <c r="F152" s="527">
        <f t="shared" si="14"/>
        <v>0</v>
      </c>
    </row>
    <row r="153" spans="1:6" x14ac:dyDescent="0.25">
      <c r="A153" s="348"/>
      <c r="B153" s="1331" t="s">
        <v>123</v>
      </c>
      <c r="C153" s="1334"/>
      <c r="D153" s="1335"/>
      <c r="E153" s="1335"/>
      <c r="F153" s="1336"/>
    </row>
    <row r="154" spans="1:6" x14ac:dyDescent="0.25">
      <c r="A154" s="348"/>
      <c r="B154" s="1332"/>
      <c r="C154" s="1337"/>
      <c r="D154" s="1338"/>
      <c r="E154" s="1338"/>
      <c r="F154" s="1339"/>
    </row>
    <row r="155" spans="1:6" ht="15.75" thickBot="1" x14ac:dyDescent="0.3">
      <c r="A155" s="348"/>
      <c r="B155" s="1333"/>
      <c r="C155" s="1340"/>
      <c r="D155" s="1341"/>
      <c r="E155" s="1341"/>
      <c r="F155" s="1342"/>
    </row>
    <row r="156" spans="1:6" ht="15.75" thickBot="1" x14ac:dyDescent="0.3">
      <c r="A156" s="348"/>
      <c r="B156" s="613" t="s">
        <v>986</v>
      </c>
      <c r="C156" s="1346" t="s">
        <v>987</v>
      </c>
      <c r="D156" s="1347"/>
      <c r="E156" s="1347"/>
      <c r="F156" s="1348"/>
    </row>
    <row r="157" spans="1:6" ht="15.75" thickBot="1" x14ac:dyDescent="0.3">
      <c r="A157" s="348"/>
      <c r="B157" s="601" t="s">
        <v>724</v>
      </c>
      <c r="C157" s="1346" t="str">
        <f>C156</f>
        <v>Sistemi audio- video sallë gjyqi dhe mbledhje</v>
      </c>
      <c r="D157" s="1034"/>
      <c r="E157" s="1034"/>
      <c r="F157" s="1035"/>
    </row>
    <row r="158" spans="1:6" ht="15.75" thickBot="1" x14ac:dyDescent="0.3">
      <c r="A158" s="348"/>
      <c r="B158" s="385" t="s">
        <v>17</v>
      </c>
      <c r="C158" s="1045" t="s">
        <v>988</v>
      </c>
      <c r="D158" s="1046"/>
      <c r="E158" s="1046"/>
      <c r="F158" s="1047"/>
    </row>
    <row r="159" spans="1:6" ht="15.75" thickBot="1" x14ac:dyDescent="0.3">
      <c r="A159" s="348"/>
      <c r="B159" s="385" t="s">
        <v>18</v>
      </c>
      <c r="C159" s="1045" t="s">
        <v>989</v>
      </c>
      <c r="D159" s="1046"/>
      <c r="E159" s="1046"/>
      <c r="F159" s="1047"/>
    </row>
    <row r="160" spans="1:6" x14ac:dyDescent="0.25">
      <c r="A160" s="348"/>
      <c r="B160" s="1294"/>
      <c r="C160" s="602">
        <v>2018</v>
      </c>
      <c r="D160" s="602">
        <v>2019</v>
      </c>
      <c r="E160" s="602">
        <v>2020</v>
      </c>
      <c r="F160" s="602">
        <v>2021</v>
      </c>
    </row>
    <row r="161" spans="1:6" ht="15.75" thickBot="1" x14ac:dyDescent="0.3">
      <c r="A161" s="348"/>
      <c r="B161" s="1295"/>
      <c r="C161" s="603" t="s">
        <v>10</v>
      </c>
      <c r="D161" s="603" t="s">
        <v>11</v>
      </c>
      <c r="E161" s="603" t="s">
        <v>11</v>
      </c>
      <c r="F161" s="603" t="s">
        <v>11</v>
      </c>
    </row>
    <row r="162" spans="1:6" ht="15.75" thickBot="1" x14ac:dyDescent="0.3">
      <c r="A162" s="348"/>
      <c r="B162" s="385" t="s">
        <v>19</v>
      </c>
      <c r="C162" s="308">
        <v>2</v>
      </c>
      <c r="D162" s="308"/>
      <c r="E162" s="308"/>
      <c r="F162" s="308"/>
    </row>
    <row r="163" spans="1:6" ht="15.75" thickBot="1" x14ac:dyDescent="0.3">
      <c r="A163" s="348"/>
      <c r="B163" s="385" t="s">
        <v>20</v>
      </c>
      <c r="C163" s="308">
        <v>1900</v>
      </c>
      <c r="D163" s="308"/>
      <c r="E163" s="308"/>
      <c r="F163" s="308"/>
    </row>
    <row r="164" spans="1:6" ht="15.75" thickBot="1" x14ac:dyDescent="0.3">
      <c r="A164" s="348"/>
      <c r="B164" s="385" t="s">
        <v>21</v>
      </c>
      <c r="C164" s="308">
        <f>C163/C162</f>
        <v>950</v>
      </c>
      <c r="D164" s="308" t="e">
        <f t="shared" ref="D164:F164" si="15">D163/D162</f>
        <v>#DIV/0!</v>
      </c>
      <c r="E164" s="308" t="e">
        <f t="shared" si="15"/>
        <v>#DIV/0!</v>
      </c>
      <c r="F164" s="308" t="e">
        <f t="shared" si="15"/>
        <v>#DIV/0!</v>
      </c>
    </row>
    <row r="165" spans="1:6" ht="15.75" thickBot="1" x14ac:dyDescent="0.3">
      <c r="A165" s="348"/>
      <c r="B165" s="385" t="s">
        <v>22</v>
      </c>
      <c r="C165" s="566" t="s">
        <v>23</v>
      </c>
      <c r="D165" s="604">
        <f>D162/C162-1</f>
        <v>-1</v>
      </c>
      <c r="E165" s="604" t="e">
        <f t="shared" ref="E165:F167" si="16">E162/D162-1</f>
        <v>#DIV/0!</v>
      </c>
      <c r="F165" s="604" t="e">
        <f t="shared" si="16"/>
        <v>#DIV/0!</v>
      </c>
    </row>
    <row r="166" spans="1:6" ht="15.75" thickBot="1" x14ac:dyDescent="0.3">
      <c r="A166" s="348"/>
      <c r="B166" s="385" t="s">
        <v>24</v>
      </c>
      <c r="C166" s="566" t="s">
        <v>23</v>
      </c>
      <c r="D166" s="604">
        <f>D163/C163-1</f>
        <v>-1</v>
      </c>
      <c r="E166" s="604" t="e">
        <f t="shared" si="16"/>
        <v>#DIV/0!</v>
      </c>
      <c r="F166" s="604" t="e">
        <f t="shared" si="16"/>
        <v>#DIV/0!</v>
      </c>
    </row>
    <row r="167" spans="1:6" ht="15.75" thickBot="1" x14ac:dyDescent="0.3">
      <c r="A167" s="348"/>
      <c r="B167" s="385" t="s">
        <v>25</v>
      </c>
      <c r="C167" s="566" t="s">
        <v>23</v>
      </c>
      <c r="D167" s="604" t="e">
        <f>D164/C164-1</f>
        <v>#DIV/0!</v>
      </c>
      <c r="E167" s="604" t="e">
        <f t="shared" si="16"/>
        <v>#DIV/0!</v>
      </c>
      <c r="F167" s="604" t="e">
        <f t="shared" si="16"/>
        <v>#DIV/0!</v>
      </c>
    </row>
    <row r="168" spans="1:6" ht="15.75" thickBot="1" x14ac:dyDescent="0.3">
      <c r="A168" s="348"/>
      <c r="B168" s="1030" t="s">
        <v>990</v>
      </c>
      <c r="C168" s="1031"/>
      <c r="D168" s="1031"/>
      <c r="E168" s="1031"/>
      <c r="F168" s="1032"/>
    </row>
    <row r="169" spans="1:6" x14ac:dyDescent="0.25">
      <c r="A169" s="348"/>
      <c r="B169" s="1294"/>
      <c r="C169" s="602">
        <v>2018</v>
      </c>
      <c r="D169" s="602">
        <v>2019</v>
      </c>
      <c r="E169" s="602">
        <v>2020</v>
      </c>
      <c r="F169" s="602">
        <v>2021</v>
      </c>
    </row>
    <row r="170" spans="1:6" ht="15.75" thickBot="1" x14ac:dyDescent="0.3">
      <c r="A170" s="348"/>
      <c r="B170" s="1295"/>
      <c r="C170" s="603" t="s">
        <v>10</v>
      </c>
      <c r="D170" s="603" t="s">
        <v>11</v>
      </c>
      <c r="E170" s="603" t="s">
        <v>11</v>
      </c>
      <c r="F170" s="603" t="s">
        <v>11</v>
      </c>
    </row>
    <row r="171" spans="1:6" ht="15.75" thickBot="1" x14ac:dyDescent="0.3">
      <c r="A171" s="348"/>
      <c r="B171" s="605" t="s">
        <v>58</v>
      </c>
      <c r="C171" s="614"/>
      <c r="D171" s="606"/>
      <c r="E171" s="606"/>
      <c r="F171" s="606"/>
    </row>
    <row r="172" spans="1:6" ht="15.75" thickBot="1" x14ac:dyDescent="0.3">
      <c r="A172" s="348"/>
      <c r="B172" s="605" t="s">
        <v>59</v>
      </c>
      <c r="C172" s="615">
        <f>C163</f>
        <v>1900</v>
      </c>
      <c r="D172" s="606"/>
      <c r="E172" s="606"/>
      <c r="F172" s="606"/>
    </row>
    <row r="173" spans="1:6" ht="15.75" thickBot="1" x14ac:dyDescent="0.3">
      <c r="A173" s="348"/>
      <c r="B173" s="610" t="s">
        <v>121</v>
      </c>
      <c r="C173" s="615">
        <f>C172+C171</f>
        <v>1900</v>
      </c>
      <c r="D173" s="527">
        <f t="shared" ref="D173:F173" si="17">D172+D171</f>
        <v>0</v>
      </c>
      <c r="E173" s="527">
        <f t="shared" si="17"/>
        <v>0</v>
      </c>
      <c r="F173" s="527">
        <f t="shared" si="17"/>
        <v>0</v>
      </c>
    </row>
    <row r="174" spans="1:6" x14ac:dyDescent="0.25">
      <c r="A174" s="348"/>
      <c r="B174" s="1331" t="s">
        <v>991</v>
      </c>
      <c r="C174" s="1334"/>
      <c r="D174" s="1335"/>
      <c r="E174" s="1335"/>
      <c r="F174" s="1336"/>
    </row>
    <row r="175" spans="1:6" x14ac:dyDescent="0.25">
      <c r="A175" s="348"/>
      <c r="B175" s="1332"/>
      <c r="C175" s="1337"/>
      <c r="D175" s="1338"/>
      <c r="E175" s="1338"/>
      <c r="F175" s="1339"/>
    </row>
    <row r="176" spans="1:6" ht="15.75" thickBot="1" x14ac:dyDescent="0.3">
      <c r="A176" s="348"/>
      <c r="B176" s="1333"/>
      <c r="C176" s="1340"/>
      <c r="D176" s="1341"/>
      <c r="E176" s="1341"/>
      <c r="F176" s="1342"/>
    </row>
    <row r="177" spans="1:6" ht="15.75" thickBot="1" x14ac:dyDescent="0.3">
      <c r="A177" s="348"/>
      <c r="B177" s="613" t="s">
        <v>992</v>
      </c>
      <c r="C177" s="1346" t="s">
        <v>993</v>
      </c>
      <c r="D177" s="1347"/>
      <c r="E177" s="1347"/>
      <c r="F177" s="1348"/>
    </row>
    <row r="178" spans="1:6" ht="15.75" thickBot="1" x14ac:dyDescent="0.3">
      <c r="A178" s="348"/>
      <c r="B178" s="601" t="s">
        <v>994</v>
      </c>
      <c r="C178" s="1346" t="str">
        <f>C177</f>
        <v>Paisje scaner  per kontroll, ure metali dedektor</v>
      </c>
      <c r="D178" s="1034"/>
      <c r="E178" s="1034"/>
      <c r="F178" s="1035"/>
    </row>
    <row r="179" spans="1:6" ht="15.75" thickBot="1" x14ac:dyDescent="0.3">
      <c r="A179" s="348"/>
      <c r="B179" s="385" t="s">
        <v>17</v>
      </c>
      <c r="C179" s="1045" t="s">
        <v>995</v>
      </c>
      <c r="D179" s="1046"/>
      <c r="E179" s="1046"/>
      <c r="F179" s="1047"/>
    </row>
    <row r="180" spans="1:6" ht="15.75" thickBot="1" x14ac:dyDescent="0.3">
      <c r="A180" s="348"/>
      <c r="B180" s="385" t="s">
        <v>18</v>
      </c>
      <c r="C180" s="1045" t="s">
        <v>996</v>
      </c>
      <c r="D180" s="1046"/>
      <c r="E180" s="1046"/>
      <c r="F180" s="1047"/>
    </row>
    <row r="181" spans="1:6" x14ac:dyDescent="0.25">
      <c r="A181" s="348"/>
      <c r="B181" s="1294"/>
      <c r="C181" s="602">
        <v>2018</v>
      </c>
      <c r="D181" s="602">
        <v>2019</v>
      </c>
      <c r="E181" s="602">
        <v>2020</v>
      </c>
      <c r="F181" s="602">
        <v>2021</v>
      </c>
    </row>
    <row r="182" spans="1:6" ht="15.75" thickBot="1" x14ac:dyDescent="0.3">
      <c r="A182" s="348"/>
      <c r="B182" s="1295"/>
      <c r="C182" s="603" t="s">
        <v>10</v>
      </c>
      <c r="D182" s="603" t="s">
        <v>11</v>
      </c>
      <c r="E182" s="603" t="s">
        <v>11</v>
      </c>
      <c r="F182" s="603" t="s">
        <v>11</v>
      </c>
    </row>
    <row r="183" spans="1:6" ht="15.75" thickBot="1" x14ac:dyDescent="0.3">
      <c r="A183" s="348"/>
      <c r="B183" s="385" t="s">
        <v>19</v>
      </c>
      <c r="C183" s="308">
        <v>1</v>
      </c>
      <c r="D183" s="308"/>
      <c r="E183" s="308"/>
      <c r="F183" s="308"/>
    </row>
    <row r="184" spans="1:6" ht="15.75" thickBot="1" x14ac:dyDescent="0.3">
      <c r="A184" s="348"/>
      <c r="B184" s="385" t="s">
        <v>20</v>
      </c>
      <c r="C184" s="308">
        <v>12700</v>
      </c>
      <c r="D184" s="308"/>
      <c r="E184" s="308"/>
      <c r="F184" s="308"/>
    </row>
    <row r="185" spans="1:6" ht="15.75" thickBot="1" x14ac:dyDescent="0.3">
      <c r="A185" s="348"/>
      <c r="B185" s="385" t="s">
        <v>21</v>
      </c>
      <c r="C185" s="308">
        <f>C184/C183</f>
        <v>12700</v>
      </c>
      <c r="D185" s="308" t="e">
        <f t="shared" ref="D185:F185" si="18">D184/D183</f>
        <v>#DIV/0!</v>
      </c>
      <c r="E185" s="308" t="e">
        <f t="shared" si="18"/>
        <v>#DIV/0!</v>
      </c>
      <c r="F185" s="308" t="e">
        <f t="shared" si="18"/>
        <v>#DIV/0!</v>
      </c>
    </row>
    <row r="186" spans="1:6" ht="15.75" thickBot="1" x14ac:dyDescent="0.3">
      <c r="A186" s="348"/>
      <c r="B186" s="385" t="s">
        <v>22</v>
      </c>
      <c r="C186" s="566" t="s">
        <v>23</v>
      </c>
      <c r="D186" s="604">
        <f>D183/C183-1</f>
        <v>-1</v>
      </c>
      <c r="E186" s="604" t="e">
        <f t="shared" ref="E186:F188" si="19">E183/D183-1</f>
        <v>#DIV/0!</v>
      </c>
      <c r="F186" s="604" t="e">
        <f t="shared" si="19"/>
        <v>#DIV/0!</v>
      </c>
    </row>
    <row r="187" spans="1:6" ht="15.75" thickBot="1" x14ac:dyDescent="0.3">
      <c r="A187" s="348"/>
      <c r="B187" s="385" t="s">
        <v>24</v>
      </c>
      <c r="C187" s="566" t="s">
        <v>23</v>
      </c>
      <c r="D187" s="604">
        <f>D184/C184-1</f>
        <v>-1</v>
      </c>
      <c r="E187" s="604" t="e">
        <f t="shared" si="19"/>
        <v>#DIV/0!</v>
      </c>
      <c r="F187" s="604" t="e">
        <f t="shared" si="19"/>
        <v>#DIV/0!</v>
      </c>
    </row>
    <row r="188" spans="1:6" ht="15.75" thickBot="1" x14ac:dyDescent="0.3">
      <c r="A188" s="348"/>
      <c r="B188" s="385" t="s">
        <v>25</v>
      </c>
      <c r="C188" s="566" t="s">
        <v>23</v>
      </c>
      <c r="D188" s="604" t="e">
        <f>D185/C185-1</f>
        <v>#DIV/0!</v>
      </c>
      <c r="E188" s="604" t="e">
        <f t="shared" si="19"/>
        <v>#DIV/0!</v>
      </c>
      <c r="F188" s="604" t="e">
        <f t="shared" si="19"/>
        <v>#DIV/0!</v>
      </c>
    </row>
    <row r="189" spans="1:6" ht="15.75" thickBot="1" x14ac:dyDescent="0.3">
      <c r="A189" s="348"/>
      <c r="B189" s="1030" t="s">
        <v>997</v>
      </c>
      <c r="C189" s="1031"/>
      <c r="D189" s="1031"/>
      <c r="E189" s="1031"/>
      <c r="F189" s="1032"/>
    </row>
    <row r="190" spans="1:6" x14ac:dyDescent="0.25">
      <c r="A190" s="348"/>
      <c r="B190" s="1294"/>
      <c r="C190" s="602">
        <v>2018</v>
      </c>
      <c r="D190" s="602">
        <v>2019</v>
      </c>
      <c r="E190" s="602">
        <v>2020</v>
      </c>
      <c r="F190" s="602">
        <v>2021</v>
      </c>
    </row>
    <row r="191" spans="1:6" ht="15.75" thickBot="1" x14ac:dyDescent="0.3">
      <c r="A191" s="348"/>
      <c r="B191" s="1295"/>
      <c r="C191" s="603" t="s">
        <v>10</v>
      </c>
      <c r="D191" s="603" t="s">
        <v>11</v>
      </c>
      <c r="E191" s="603" t="s">
        <v>11</v>
      </c>
      <c r="F191" s="603" t="s">
        <v>11</v>
      </c>
    </row>
    <row r="192" spans="1:6" ht="15.75" thickBot="1" x14ac:dyDescent="0.3">
      <c r="A192" s="348"/>
      <c r="B192" s="605" t="s">
        <v>58</v>
      </c>
      <c r="C192" s="614"/>
      <c r="D192" s="606"/>
      <c r="E192" s="606"/>
      <c r="F192" s="606"/>
    </row>
    <row r="193" spans="1:6" ht="15.75" thickBot="1" x14ac:dyDescent="0.3">
      <c r="A193" s="348"/>
      <c r="B193" s="605" t="s">
        <v>59</v>
      </c>
      <c r="C193" s="615">
        <f>C184</f>
        <v>12700</v>
      </c>
      <c r="D193" s="606"/>
      <c r="E193" s="606"/>
      <c r="F193" s="606"/>
    </row>
    <row r="194" spans="1:6" ht="15.75" thickBot="1" x14ac:dyDescent="0.3">
      <c r="A194" s="348"/>
      <c r="B194" s="610" t="s">
        <v>998</v>
      </c>
      <c r="C194" s="615">
        <f>C193+C192</f>
        <v>12700</v>
      </c>
      <c r="D194" s="527">
        <f t="shared" ref="D194:F194" si="20">D193+D192</f>
        <v>0</v>
      </c>
      <c r="E194" s="527">
        <f t="shared" si="20"/>
        <v>0</v>
      </c>
      <c r="F194" s="527">
        <f t="shared" si="20"/>
        <v>0</v>
      </c>
    </row>
    <row r="195" spans="1:6" x14ac:dyDescent="0.25">
      <c r="A195" s="348"/>
      <c r="B195" s="1331" t="s">
        <v>999</v>
      </c>
      <c r="C195" s="1334"/>
      <c r="D195" s="1335"/>
      <c r="E195" s="1335"/>
      <c r="F195" s="1336"/>
    </row>
    <row r="196" spans="1:6" x14ac:dyDescent="0.25">
      <c r="A196" s="348"/>
      <c r="B196" s="1332"/>
      <c r="C196" s="1337"/>
      <c r="D196" s="1338"/>
      <c r="E196" s="1338"/>
      <c r="F196" s="1339"/>
    </row>
    <row r="197" spans="1:6" ht="15.75" thickBot="1" x14ac:dyDescent="0.3">
      <c r="A197" s="348"/>
      <c r="B197" s="1333"/>
      <c r="C197" s="1340"/>
      <c r="D197" s="1341"/>
      <c r="E197" s="1341"/>
      <c r="F197" s="1342"/>
    </row>
    <row r="198" spans="1:6" ht="15.75" thickBot="1" x14ac:dyDescent="0.3">
      <c r="A198" s="348"/>
      <c r="B198" s="613" t="s">
        <v>1000</v>
      </c>
      <c r="C198" s="1343" t="s">
        <v>1001</v>
      </c>
      <c r="D198" s="1344"/>
      <c r="E198" s="1344"/>
      <c r="F198" s="1345"/>
    </row>
    <row r="199" spans="1:6" ht="15.75" thickBot="1" x14ac:dyDescent="0.3">
      <c r="A199" s="348"/>
      <c r="B199" s="601" t="s">
        <v>1002</v>
      </c>
      <c r="C199" s="1346" t="str">
        <f>C198</f>
        <v>Blerje automjeti për institucionin</v>
      </c>
      <c r="D199" s="1034"/>
      <c r="E199" s="1034"/>
      <c r="F199" s="1035"/>
    </row>
    <row r="200" spans="1:6" ht="15.75" thickBot="1" x14ac:dyDescent="0.3">
      <c r="A200" s="348"/>
      <c r="B200" s="385" t="s">
        <v>17</v>
      </c>
      <c r="C200" s="1045" t="s">
        <v>1003</v>
      </c>
      <c r="D200" s="1046"/>
      <c r="E200" s="1046"/>
      <c r="F200" s="1047"/>
    </row>
    <row r="201" spans="1:6" ht="15.75" thickBot="1" x14ac:dyDescent="0.3">
      <c r="A201" s="348"/>
      <c r="B201" s="385" t="s">
        <v>18</v>
      </c>
      <c r="C201" s="1045" t="s">
        <v>1004</v>
      </c>
      <c r="D201" s="1046"/>
      <c r="E201" s="1046"/>
      <c r="F201" s="1047"/>
    </row>
    <row r="202" spans="1:6" x14ac:dyDescent="0.25">
      <c r="A202" s="348"/>
      <c r="B202" s="1294"/>
      <c r="C202" s="602">
        <v>2018</v>
      </c>
      <c r="D202" s="602">
        <v>2019</v>
      </c>
      <c r="E202" s="602">
        <v>2020</v>
      </c>
      <c r="F202" s="602">
        <v>2021</v>
      </c>
    </row>
    <row r="203" spans="1:6" ht="15.75" thickBot="1" x14ac:dyDescent="0.3">
      <c r="A203" s="348"/>
      <c r="B203" s="1295"/>
      <c r="C203" s="603" t="s">
        <v>10</v>
      </c>
      <c r="D203" s="603" t="s">
        <v>11</v>
      </c>
      <c r="E203" s="603" t="s">
        <v>11</v>
      </c>
      <c r="F203" s="603" t="s">
        <v>11</v>
      </c>
    </row>
    <row r="204" spans="1:6" ht="15.75" thickBot="1" x14ac:dyDescent="0.3">
      <c r="A204" s="348"/>
      <c r="B204" s="385" t="s">
        <v>19</v>
      </c>
      <c r="C204" s="308">
        <v>1</v>
      </c>
      <c r="D204" s="308"/>
      <c r="E204" s="308"/>
      <c r="F204" s="308"/>
    </row>
    <row r="205" spans="1:6" ht="15.75" thickBot="1" x14ac:dyDescent="0.3">
      <c r="A205" s="348"/>
      <c r="B205" s="385" t="s">
        <v>20</v>
      </c>
      <c r="C205" s="308">
        <v>3000</v>
      </c>
      <c r="D205" s="308"/>
      <c r="E205" s="308"/>
      <c r="F205" s="308"/>
    </row>
    <row r="206" spans="1:6" ht="15.75" thickBot="1" x14ac:dyDescent="0.3">
      <c r="A206" s="348"/>
      <c r="B206" s="385" t="s">
        <v>21</v>
      </c>
      <c r="C206" s="308">
        <f>C205/C204</f>
        <v>3000</v>
      </c>
      <c r="D206" s="308" t="e">
        <f t="shared" ref="D206:F206" si="21">D205/D204</f>
        <v>#DIV/0!</v>
      </c>
      <c r="E206" s="308" t="e">
        <f t="shared" si="21"/>
        <v>#DIV/0!</v>
      </c>
      <c r="F206" s="308" t="e">
        <f t="shared" si="21"/>
        <v>#DIV/0!</v>
      </c>
    </row>
    <row r="207" spans="1:6" ht="15.75" thickBot="1" x14ac:dyDescent="0.3">
      <c r="A207" s="348"/>
      <c r="B207" s="385" t="s">
        <v>22</v>
      </c>
      <c r="C207" s="566" t="s">
        <v>23</v>
      </c>
      <c r="D207" s="604">
        <f>D204/C204-1</f>
        <v>-1</v>
      </c>
      <c r="E207" s="604" t="e">
        <f t="shared" ref="E207:F209" si="22">E204/D204-1</f>
        <v>#DIV/0!</v>
      </c>
      <c r="F207" s="604" t="e">
        <f t="shared" si="22"/>
        <v>#DIV/0!</v>
      </c>
    </row>
    <row r="208" spans="1:6" ht="15.75" thickBot="1" x14ac:dyDescent="0.3">
      <c r="A208" s="348"/>
      <c r="B208" s="385" t="s">
        <v>24</v>
      </c>
      <c r="C208" s="566" t="s">
        <v>23</v>
      </c>
      <c r="D208" s="604">
        <f>D205/C205-1</f>
        <v>-1</v>
      </c>
      <c r="E208" s="604" t="e">
        <f t="shared" si="22"/>
        <v>#DIV/0!</v>
      </c>
      <c r="F208" s="604" t="e">
        <f t="shared" si="22"/>
        <v>#DIV/0!</v>
      </c>
    </row>
    <row r="209" spans="1:8" ht="15.75" thickBot="1" x14ac:dyDescent="0.3">
      <c r="A209" s="348"/>
      <c r="B209" s="385" t="s">
        <v>25</v>
      </c>
      <c r="C209" s="566" t="s">
        <v>23</v>
      </c>
      <c r="D209" s="604" t="e">
        <f>D206/C206-1</f>
        <v>#DIV/0!</v>
      </c>
      <c r="E209" s="604" t="e">
        <f t="shared" si="22"/>
        <v>#DIV/0!</v>
      </c>
      <c r="F209" s="604" t="e">
        <f t="shared" si="22"/>
        <v>#DIV/0!</v>
      </c>
    </row>
    <row r="210" spans="1:8" ht="15.75" thickBot="1" x14ac:dyDescent="0.3">
      <c r="A210" s="348"/>
      <c r="B210" s="1030" t="s">
        <v>1005</v>
      </c>
      <c r="C210" s="1031"/>
      <c r="D210" s="1031"/>
      <c r="E210" s="1031"/>
      <c r="F210" s="1032"/>
    </row>
    <row r="211" spans="1:8" x14ac:dyDescent="0.25">
      <c r="A211" s="348"/>
      <c r="B211" s="1294"/>
      <c r="C211" s="602">
        <v>2018</v>
      </c>
      <c r="D211" s="602">
        <v>2019</v>
      </c>
      <c r="E211" s="602">
        <v>2020</v>
      </c>
      <c r="F211" s="602">
        <v>2021</v>
      </c>
    </row>
    <row r="212" spans="1:8" ht="15.75" thickBot="1" x14ac:dyDescent="0.3">
      <c r="A212" s="348"/>
      <c r="B212" s="1295"/>
      <c r="C212" s="603" t="s">
        <v>10</v>
      </c>
      <c r="D212" s="603" t="s">
        <v>11</v>
      </c>
      <c r="E212" s="603" t="s">
        <v>11</v>
      </c>
      <c r="F212" s="603" t="s">
        <v>11</v>
      </c>
    </row>
    <row r="213" spans="1:8" ht="15.75" thickBot="1" x14ac:dyDescent="0.3">
      <c r="A213" s="348"/>
      <c r="B213" s="605" t="s">
        <v>58</v>
      </c>
      <c r="C213" s="614"/>
      <c r="D213" s="606"/>
      <c r="E213" s="606"/>
      <c r="F213" s="606"/>
    </row>
    <row r="214" spans="1:8" ht="15.75" thickBot="1" x14ac:dyDescent="0.3">
      <c r="A214" s="348"/>
      <c r="B214" s="605" t="s">
        <v>59</v>
      </c>
      <c r="C214" s="615">
        <f>C205</f>
        <v>3000</v>
      </c>
      <c r="D214" s="606"/>
      <c r="E214" s="606"/>
      <c r="F214" s="606"/>
    </row>
    <row r="215" spans="1:8" ht="15.75" thickBot="1" x14ac:dyDescent="0.3">
      <c r="A215" s="348"/>
      <c r="B215" s="610" t="s">
        <v>1006</v>
      </c>
      <c r="C215" s="615">
        <f>C214+C213</f>
        <v>3000</v>
      </c>
      <c r="D215" s="527">
        <f t="shared" ref="D215:F215" si="23">D214+D213</f>
        <v>0</v>
      </c>
      <c r="E215" s="527">
        <f t="shared" si="23"/>
        <v>0</v>
      </c>
      <c r="F215" s="527">
        <f t="shared" si="23"/>
        <v>0</v>
      </c>
    </row>
    <row r="216" spans="1:8" x14ac:dyDescent="0.25">
      <c r="A216" s="348"/>
      <c r="B216" s="1331" t="s">
        <v>62</v>
      </c>
      <c r="C216" s="1334"/>
      <c r="D216" s="1335"/>
      <c r="E216" s="1335"/>
      <c r="F216" s="1336"/>
    </row>
    <row r="217" spans="1:8" x14ac:dyDescent="0.25">
      <c r="A217" s="348"/>
      <c r="B217" s="1332"/>
      <c r="C217" s="1337"/>
      <c r="D217" s="1338"/>
      <c r="E217" s="1338"/>
      <c r="F217" s="1339"/>
    </row>
    <row r="218" spans="1:8" ht="15.75" thickBot="1" x14ac:dyDescent="0.3">
      <c r="A218" s="348"/>
      <c r="B218" s="1333"/>
      <c r="C218" s="1340"/>
      <c r="D218" s="1341"/>
      <c r="E218" s="1341"/>
      <c r="F218" s="1342"/>
    </row>
    <row r="219" spans="1:8" ht="30.75" thickBot="1" x14ac:dyDescent="0.3">
      <c r="A219" s="348"/>
      <c r="B219" s="251" t="s">
        <v>82</v>
      </c>
      <c r="C219" s="616">
        <f>C31+C79+C100+C121+C142+C163+C184+C205</f>
        <v>154000</v>
      </c>
      <c r="D219" s="616">
        <f>D31+D100+D79</f>
        <v>135000</v>
      </c>
      <c r="E219" s="616">
        <f>E31+E100+E79</f>
        <v>135000</v>
      </c>
      <c r="F219" s="616">
        <f>F31+F100+F79</f>
        <v>136000</v>
      </c>
      <c r="H219" s="163"/>
    </row>
    <row r="220" spans="1:8" ht="30.75" thickBot="1" x14ac:dyDescent="0.3">
      <c r="A220" s="348"/>
      <c r="B220" s="251" t="s">
        <v>83</v>
      </c>
      <c r="C220" s="616">
        <f>C222+C224+C226+C236+C238</f>
        <v>154000</v>
      </c>
      <c r="D220" s="616">
        <f>D39+D42+D45+D109+D88</f>
        <v>135000</v>
      </c>
      <c r="E220" s="616">
        <f t="shared" ref="E220:F220" si="24">E222+E224+E226+E236+E238</f>
        <v>135000</v>
      </c>
      <c r="F220" s="616">
        <f t="shared" si="24"/>
        <v>136000</v>
      </c>
    </row>
    <row r="221" spans="1:8" ht="30.75" thickBot="1" x14ac:dyDescent="0.3">
      <c r="A221" s="348"/>
      <c r="B221" s="617" t="s">
        <v>84</v>
      </c>
      <c r="C221" s="618"/>
      <c r="D221" s="616">
        <f>D33+D102+D81</f>
        <v>0.76428571428571423</v>
      </c>
      <c r="E221" s="619">
        <f t="shared" ref="E221:F221" si="25">E220/D220-1</f>
        <v>0</v>
      </c>
      <c r="F221" s="619">
        <f t="shared" si="25"/>
        <v>7.4074074074073071E-3</v>
      </c>
    </row>
    <row r="222" spans="1:8" ht="15.75" thickBot="1" x14ac:dyDescent="0.3">
      <c r="A222" s="348"/>
      <c r="B222" s="605" t="s">
        <v>26</v>
      </c>
      <c r="C222" s="606">
        <f>C39</f>
        <v>100000</v>
      </c>
      <c r="D222" s="616">
        <v>97000</v>
      </c>
      <c r="E222" s="606">
        <f>E39</f>
        <v>98300</v>
      </c>
      <c r="F222" s="606">
        <f>F39</f>
        <v>98300</v>
      </c>
    </row>
    <row r="223" spans="1:8" ht="15.75" thickBot="1" x14ac:dyDescent="0.3">
      <c r="A223" s="348"/>
      <c r="B223" s="607" t="s">
        <v>85</v>
      </c>
      <c r="C223" s="527"/>
      <c r="D223" s="616">
        <f>D35+D104+D83</f>
        <v>-0.18287037037037057</v>
      </c>
      <c r="E223" s="620">
        <f t="shared" ref="E223:F223" si="26">E222/D222-1</f>
        <v>1.3402061855670055E-2</v>
      </c>
      <c r="F223" s="609">
        <f t="shared" si="26"/>
        <v>0</v>
      </c>
    </row>
    <row r="224" spans="1:8" ht="30.75" thickBot="1" x14ac:dyDescent="0.3">
      <c r="A224" s="348"/>
      <c r="B224" s="605" t="s">
        <v>28</v>
      </c>
      <c r="C224" s="606">
        <f>C42</f>
        <v>8000</v>
      </c>
      <c r="D224" s="616">
        <v>8000</v>
      </c>
      <c r="E224" s="606">
        <f>E42</f>
        <v>10700</v>
      </c>
      <c r="F224" s="606">
        <f>F42</f>
        <v>10700</v>
      </c>
    </row>
    <row r="225" spans="1:6" ht="30.75" thickBot="1" x14ac:dyDescent="0.3">
      <c r="A225" s="348"/>
      <c r="B225" s="607" t="s">
        <v>86</v>
      </c>
      <c r="C225" s="527"/>
      <c r="D225" s="616"/>
      <c r="E225" s="609">
        <f t="shared" ref="E225:F225" si="27">E224/D224-1</f>
        <v>0.33749999999999991</v>
      </c>
      <c r="F225" s="609">
        <f t="shared" si="27"/>
        <v>0</v>
      </c>
    </row>
    <row r="226" spans="1:6" ht="15.75" thickBot="1" x14ac:dyDescent="0.3">
      <c r="A226" s="348"/>
      <c r="B226" s="605" t="s">
        <v>30</v>
      </c>
      <c r="C226" s="606">
        <f>C45</f>
        <v>20000</v>
      </c>
      <c r="D226" s="606">
        <f>D45</f>
        <v>25000</v>
      </c>
      <c r="E226" s="606">
        <f>E45</f>
        <v>26000</v>
      </c>
      <c r="F226" s="606">
        <f>F45</f>
        <v>27000</v>
      </c>
    </row>
    <row r="227" spans="1:6" ht="15.75" thickBot="1" x14ac:dyDescent="0.3">
      <c r="A227" s="348"/>
      <c r="B227" s="607" t="s">
        <v>87</v>
      </c>
      <c r="C227" s="527"/>
      <c r="D227" s="616">
        <f>D108+D87</f>
        <v>0</v>
      </c>
      <c r="E227" s="609">
        <f t="shared" ref="E227:F227" si="28">E226/D226-1</f>
        <v>4.0000000000000036E-2</v>
      </c>
      <c r="F227" s="609">
        <f t="shared" si="28"/>
        <v>3.8461538461538547E-2</v>
      </c>
    </row>
    <row r="228" spans="1:6" ht="15.75" thickBot="1" x14ac:dyDescent="0.3">
      <c r="A228" s="348"/>
      <c r="B228" s="605" t="s">
        <v>32</v>
      </c>
      <c r="C228" s="606">
        <f>C48</f>
        <v>0</v>
      </c>
      <c r="D228" s="606">
        <f>D48</f>
        <v>0</v>
      </c>
      <c r="E228" s="606">
        <f>E48</f>
        <v>0</v>
      </c>
      <c r="F228" s="606">
        <f>F48</f>
        <v>0</v>
      </c>
    </row>
    <row r="229" spans="1:6" ht="15.75" thickBot="1" x14ac:dyDescent="0.3">
      <c r="A229" s="348"/>
      <c r="B229" s="607" t="s">
        <v>88</v>
      </c>
      <c r="C229" s="527"/>
      <c r="D229" s="616"/>
      <c r="E229" s="609" t="e">
        <f t="shared" ref="E229:F229" si="29">E228/D228-1</f>
        <v>#DIV/0!</v>
      </c>
      <c r="F229" s="609" t="e">
        <f t="shared" si="29"/>
        <v>#DIV/0!</v>
      </c>
    </row>
    <row r="230" spans="1:6" ht="15.75" thickBot="1" x14ac:dyDescent="0.3">
      <c r="A230" s="348"/>
      <c r="B230" s="605" t="s">
        <v>34</v>
      </c>
      <c r="C230" s="606">
        <f>C51</f>
        <v>0</v>
      </c>
      <c r="D230" s="606">
        <f>D51</f>
        <v>0</v>
      </c>
      <c r="E230" s="606">
        <f>E51</f>
        <v>0</v>
      </c>
      <c r="F230" s="606">
        <f>F51</f>
        <v>0</v>
      </c>
    </row>
    <row r="231" spans="1:6" ht="15.75" thickBot="1" x14ac:dyDescent="0.3">
      <c r="A231" s="348"/>
      <c r="B231" s="607" t="s">
        <v>89</v>
      </c>
      <c r="C231" s="527"/>
      <c r="D231" s="616">
        <f t="shared" ref="D231:D237" si="30">D43+D112+D91</f>
        <v>0</v>
      </c>
      <c r="E231" s="609" t="e">
        <f t="shared" ref="E231:F231" si="31">E230/D230-1</f>
        <v>#DIV/0!</v>
      </c>
      <c r="F231" s="609" t="e">
        <f t="shared" si="31"/>
        <v>#DIV/0!</v>
      </c>
    </row>
    <row r="232" spans="1:6" ht="15.75" thickBot="1" x14ac:dyDescent="0.3">
      <c r="A232" s="348"/>
      <c r="B232" s="605" t="s">
        <v>36</v>
      </c>
      <c r="C232" s="606">
        <f>C54</f>
        <v>0</v>
      </c>
      <c r="D232" s="616">
        <f t="shared" si="30"/>
        <v>0</v>
      </c>
      <c r="E232" s="606">
        <f>E54</f>
        <v>0</v>
      </c>
      <c r="F232" s="606">
        <f>F54</f>
        <v>0</v>
      </c>
    </row>
    <row r="233" spans="1:6" ht="15.75" thickBot="1" x14ac:dyDescent="0.3">
      <c r="A233" s="348"/>
      <c r="B233" s="607" t="s">
        <v>90</v>
      </c>
      <c r="C233" s="527"/>
      <c r="D233" s="609" t="e">
        <f t="shared" ref="D233:F233" si="32">D232/C232-1</f>
        <v>#DIV/0!</v>
      </c>
      <c r="E233" s="609" t="e">
        <f t="shared" si="32"/>
        <v>#DIV/0!</v>
      </c>
      <c r="F233" s="609" t="e">
        <f t="shared" si="32"/>
        <v>#DIV/0!</v>
      </c>
    </row>
    <row r="234" spans="1:6" ht="15.75" thickBot="1" x14ac:dyDescent="0.3">
      <c r="A234" s="348"/>
      <c r="B234" s="605" t="s">
        <v>38</v>
      </c>
      <c r="C234" s="606">
        <f>C57</f>
        <v>0</v>
      </c>
      <c r="D234" s="616">
        <f t="shared" si="30"/>
        <v>0</v>
      </c>
      <c r="E234" s="606">
        <f>E57</f>
        <v>0</v>
      </c>
      <c r="F234" s="606">
        <f>F57</f>
        <v>0</v>
      </c>
    </row>
    <row r="235" spans="1:6" ht="30.75" thickBot="1" x14ac:dyDescent="0.3">
      <c r="A235" s="348"/>
      <c r="B235" s="607" t="s">
        <v>91</v>
      </c>
      <c r="C235" s="527"/>
      <c r="D235" s="616">
        <f t="shared" si="30"/>
        <v>0</v>
      </c>
      <c r="E235" s="609" t="e">
        <f t="shared" ref="E235:F235" si="33">E234/D234-1</f>
        <v>#DIV/0!</v>
      </c>
      <c r="F235" s="609" t="e">
        <f t="shared" si="33"/>
        <v>#DIV/0!</v>
      </c>
    </row>
    <row r="236" spans="1:6" ht="15.75" thickBot="1" x14ac:dyDescent="0.3">
      <c r="A236" s="348"/>
      <c r="B236" s="605" t="s">
        <v>92</v>
      </c>
      <c r="C236" s="606">
        <f>C87+C108+C129+C150+C171+C192+C213</f>
        <v>2500</v>
      </c>
      <c r="D236" s="616">
        <f t="shared" si="30"/>
        <v>0</v>
      </c>
      <c r="E236" s="606">
        <f>E87+E108</f>
        <v>0</v>
      </c>
      <c r="F236" s="606">
        <f>F87+F108</f>
        <v>0</v>
      </c>
    </row>
    <row r="237" spans="1:6" ht="15.75" thickBot="1" x14ac:dyDescent="0.3">
      <c r="A237" s="348"/>
      <c r="B237" s="607" t="s">
        <v>93</v>
      </c>
      <c r="C237" s="527"/>
      <c r="D237" s="616">
        <f t="shared" si="30"/>
        <v>4038</v>
      </c>
      <c r="E237" s="609" t="e">
        <f t="shared" ref="E237:F237" si="34">E236/D236-1</f>
        <v>#DIV/0!</v>
      </c>
      <c r="F237" s="609" t="e">
        <f t="shared" si="34"/>
        <v>#DIV/0!</v>
      </c>
    </row>
    <row r="238" spans="1:6" ht="15.75" thickBot="1" x14ac:dyDescent="0.3">
      <c r="A238" s="348"/>
      <c r="B238" s="605" t="s">
        <v>94</v>
      </c>
      <c r="C238" s="606">
        <f>C88+C110+C173+C194+C215</f>
        <v>23500</v>
      </c>
      <c r="D238" s="606">
        <f>D88+D110+D173+D194+D215</f>
        <v>3400</v>
      </c>
      <c r="E238" s="606">
        <f t="shared" ref="E238:F238" si="35">E88+E110+E173+E194+E215</f>
        <v>0</v>
      </c>
      <c r="F238" s="606">
        <f t="shared" si="35"/>
        <v>0</v>
      </c>
    </row>
    <row r="239" spans="1:6" ht="15.75" thickBot="1" x14ac:dyDescent="0.3">
      <c r="A239" s="348"/>
      <c r="B239" s="607" t="s">
        <v>95</v>
      </c>
      <c r="C239" s="527"/>
      <c r="D239" s="616">
        <f>D51+D120+D99</f>
        <v>12</v>
      </c>
      <c r="E239" s="609">
        <f t="shared" ref="E239:F239" si="36">E238/D238-1</f>
        <v>-1</v>
      </c>
      <c r="F239" s="609" t="e">
        <f t="shared" si="36"/>
        <v>#DIV/0!</v>
      </c>
    </row>
    <row r="240" spans="1:6" x14ac:dyDescent="0.25">
      <c r="A240" s="348"/>
      <c r="B240" s="1322" t="s">
        <v>1015</v>
      </c>
      <c r="C240" s="1325"/>
      <c r="D240" s="1325"/>
      <c r="E240" s="1325"/>
      <c r="F240" s="1326"/>
    </row>
    <row r="241" spans="2:6" x14ac:dyDescent="0.25">
      <c r="B241" s="1323"/>
      <c r="C241" s="1327"/>
      <c r="D241" s="1327"/>
      <c r="E241" s="1327"/>
      <c r="F241" s="1328"/>
    </row>
    <row r="242" spans="2:6" ht="15.75" thickBot="1" x14ac:dyDescent="0.3">
      <c r="B242" s="1324"/>
      <c r="C242" s="1329"/>
      <c r="D242" s="1329"/>
      <c r="E242" s="1329"/>
      <c r="F242" s="1330"/>
    </row>
    <row r="243" spans="2:6" ht="15.75" thickBot="1" x14ac:dyDescent="0.3">
      <c r="B243" s="611" t="s">
        <v>41</v>
      </c>
      <c r="C243" s="612">
        <f>IF(C220-C219=0,0,"Error")</f>
        <v>0</v>
      </c>
      <c r="D243" s="612">
        <f t="shared" ref="D243:F243" si="37">IF(D220-D219=0,0,"Error")</f>
        <v>0</v>
      </c>
      <c r="E243" s="612">
        <f t="shared" si="37"/>
        <v>0</v>
      </c>
      <c r="F243" s="612">
        <f t="shared" si="37"/>
        <v>0</v>
      </c>
    </row>
    <row r="244" spans="2:6" ht="30.75" thickBot="1" x14ac:dyDescent="0.3">
      <c r="B244" s="621" t="s">
        <v>96</v>
      </c>
      <c r="C244" s="606">
        <v>37</v>
      </c>
      <c r="D244" s="606">
        <v>37</v>
      </c>
      <c r="E244" s="606">
        <v>37</v>
      </c>
      <c r="F244" s="606">
        <v>37</v>
      </c>
    </row>
    <row r="245" spans="2:6" ht="30.75" thickBot="1" x14ac:dyDescent="0.3">
      <c r="B245" s="621" t="s">
        <v>97</v>
      </c>
      <c r="C245" s="606">
        <v>2</v>
      </c>
      <c r="D245" s="606">
        <v>2</v>
      </c>
      <c r="E245" s="606">
        <v>2</v>
      </c>
      <c r="F245" s="606">
        <v>2</v>
      </c>
    </row>
    <row r="246" spans="2:6" x14ac:dyDescent="0.25">
      <c r="B246" s="622"/>
      <c r="C246" s="623"/>
      <c r="D246" s="623"/>
      <c r="E246" s="623"/>
      <c r="F246" s="623"/>
    </row>
    <row r="247" spans="2:6" x14ac:dyDescent="0.25">
      <c r="B247" s="596"/>
      <c r="C247" s="596"/>
      <c r="D247" s="596"/>
      <c r="E247" s="596"/>
      <c r="F247" s="596"/>
    </row>
    <row r="248" spans="2:6" x14ac:dyDescent="0.25">
      <c r="B248" s="596"/>
      <c r="C248" s="596"/>
      <c r="D248" s="596"/>
      <c r="E248" s="596"/>
      <c r="F248" s="596"/>
    </row>
  </sheetData>
  <mergeCells count="92">
    <mergeCell ref="B8:F8"/>
    <mergeCell ref="B2:G2"/>
    <mergeCell ref="B3:F3"/>
    <mergeCell ref="C5:F5"/>
    <mergeCell ref="C6:F6"/>
    <mergeCell ref="C7:F7"/>
    <mergeCell ref="B28:B29"/>
    <mergeCell ref="B9:F11"/>
    <mergeCell ref="C12:F12"/>
    <mergeCell ref="G12:L12"/>
    <mergeCell ref="B13:B14"/>
    <mergeCell ref="C18:F18"/>
    <mergeCell ref="B19:F19"/>
    <mergeCell ref="B23:F23"/>
    <mergeCell ref="B24:F24"/>
    <mergeCell ref="C25:F25"/>
    <mergeCell ref="C26:F26"/>
    <mergeCell ref="C27:F27"/>
    <mergeCell ref="C74:F74"/>
    <mergeCell ref="B36:F36"/>
    <mergeCell ref="B37:B38"/>
    <mergeCell ref="B61:B63"/>
    <mergeCell ref="C61:F63"/>
    <mergeCell ref="C65:F65"/>
    <mergeCell ref="B66:F66"/>
    <mergeCell ref="B69:F69"/>
    <mergeCell ref="B70:F70"/>
    <mergeCell ref="B71:F71"/>
    <mergeCell ref="C72:F72"/>
    <mergeCell ref="C73:F73"/>
    <mergeCell ref="B97:B98"/>
    <mergeCell ref="B105:F105"/>
    <mergeCell ref="C75:F75"/>
    <mergeCell ref="B76:B77"/>
    <mergeCell ref="B84:F84"/>
    <mergeCell ref="B85:B86"/>
    <mergeCell ref="B90:B92"/>
    <mergeCell ref="C90:F92"/>
    <mergeCell ref="C116:F116"/>
    <mergeCell ref="C93:F93"/>
    <mergeCell ref="C94:F94"/>
    <mergeCell ref="C95:F95"/>
    <mergeCell ref="C96:F96"/>
    <mergeCell ref="B106:B107"/>
    <mergeCell ref="B111:B113"/>
    <mergeCell ref="C111:F113"/>
    <mergeCell ref="C114:F114"/>
    <mergeCell ref="C115:F115"/>
    <mergeCell ref="B139:B140"/>
    <mergeCell ref="B147:F147"/>
    <mergeCell ref="C117:F117"/>
    <mergeCell ref="B118:B119"/>
    <mergeCell ref="B126:F126"/>
    <mergeCell ref="B127:B128"/>
    <mergeCell ref="B132:B134"/>
    <mergeCell ref="C132:F134"/>
    <mergeCell ref="C158:F158"/>
    <mergeCell ref="C135:F135"/>
    <mergeCell ref="C136:F136"/>
    <mergeCell ref="C137:F137"/>
    <mergeCell ref="C138:F138"/>
    <mergeCell ref="B148:B149"/>
    <mergeCell ref="B153:B155"/>
    <mergeCell ref="C153:F155"/>
    <mergeCell ref="C156:F156"/>
    <mergeCell ref="C157:F157"/>
    <mergeCell ref="B181:B182"/>
    <mergeCell ref="B189:F189"/>
    <mergeCell ref="C159:F159"/>
    <mergeCell ref="B160:B161"/>
    <mergeCell ref="B168:F168"/>
    <mergeCell ref="B169:B170"/>
    <mergeCell ref="B174:B176"/>
    <mergeCell ref="C174:F176"/>
    <mergeCell ref="C200:F200"/>
    <mergeCell ref="C177:F177"/>
    <mergeCell ref="C178:F178"/>
    <mergeCell ref="C179:F179"/>
    <mergeCell ref="C180:F180"/>
    <mergeCell ref="B190:B191"/>
    <mergeCell ref="B195:B197"/>
    <mergeCell ref="C195:F197"/>
    <mergeCell ref="C198:F198"/>
    <mergeCell ref="C199:F199"/>
    <mergeCell ref="B240:B242"/>
    <mergeCell ref="C240:F242"/>
    <mergeCell ref="C201:F201"/>
    <mergeCell ref="B202:B203"/>
    <mergeCell ref="B210:F210"/>
    <mergeCell ref="B211:B212"/>
    <mergeCell ref="B216:B218"/>
    <mergeCell ref="C216:F21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127"/>
  <sheetViews>
    <sheetView topLeftCell="A100" workbookViewId="0">
      <selection activeCell="D106" sqref="D106"/>
    </sheetView>
  </sheetViews>
  <sheetFormatPr defaultRowHeight="15" x14ac:dyDescent="0.25"/>
  <cols>
    <col min="1" max="1" width="9.140625" style="152"/>
    <col min="2" max="2" width="47.5703125" style="152" customWidth="1"/>
    <col min="3" max="6" width="23.5703125" style="152" customWidth="1"/>
    <col min="7" max="16384" width="9.140625" style="152"/>
  </cols>
  <sheetData>
    <row r="4" spans="2:6" x14ac:dyDescent="0.25">
      <c r="B4" s="762" t="s">
        <v>0</v>
      </c>
      <c r="C4" s="762"/>
      <c r="D4" s="762"/>
      <c r="E4" s="762"/>
      <c r="F4" s="762"/>
    </row>
    <row r="5" spans="2:6" ht="15.75" thickBot="1" x14ac:dyDescent="0.3"/>
    <row r="6" spans="2:6" ht="15.75" thickBot="1" x14ac:dyDescent="0.3">
      <c r="B6" s="153" t="s">
        <v>2</v>
      </c>
      <c r="C6" s="979" t="s">
        <v>1122</v>
      </c>
      <c r="D6" s="979"/>
      <c r="E6" s="979"/>
      <c r="F6" s="979"/>
    </row>
    <row r="7" spans="2:6" ht="15.75" thickBot="1" x14ac:dyDescent="0.3">
      <c r="B7" s="153" t="s">
        <v>3</v>
      </c>
      <c r="C7" s="1048" t="s">
        <v>1123</v>
      </c>
      <c r="D7" s="981"/>
      <c r="E7" s="981"/>
      <c r="F7" s="982"/>
    </row>
    <row r="8" spans="2:6" ht="15.75" thickBot="1" x14ac:dyDescent="0.3">
      <c r="B8" s="153" t="s">
        <v>5</v>
      </c>
      <c r="C8" s="983" t="s">
        <v>6</v>
      </c>
      <c r="D8" s="984"/>
      <c r="E8" s="984"/>
      <c r="F8" s="985"/>
    </row>
    <row r="9" spans="2:6" ht="15.75" thickBot="1" x14ac:dyDescent="0.3">
      <c r="B9" s="986" t="s">
        <v>7</v>
      </c>
      <c r="C9" s="987"/>
      <c r="D9" s="987"/>
      <c r="E9" s="987"/>
      <c r="F9" s="988"/>
    </row>
    <row r="10" spans="2:6" ht="15.75" thickBot="1" x14ac:dyDescent="0.3">
      <c r="B10" s="1003" t="s">
        <v>1124</v>
      </c>
      <c r="C10" s="1004"/>
      <c r="D10" s="1004"/>
      <c r="E10" s="1004"/>
      <c r="F10" s="1005"/>
    </row>
    <row r="11" spans="2:6" ht="15.75" thickBot="1" x14ac:dyDescent="0.3">
      <c r="B11" s="1003"/>
      <c r="C11" s="1004"/>
      <c r="D11" s="1004"/>
      <c r="E11" s="1004"/>
      <c r="F11" s="1005"/>
    </row>
    <row r="12" spans="2:6" ht="44.25" customHeight="1" thickBot="1" x14ac:dyDescent="0.3">
      <c r="B12" s="1003"/>
      <c r="C12" s="1004"/>
      <c r="D12" s="1004"/>
      <c r="E12" s="1004"/>
      <c r="F12" s="1005"/>
    </row>
    <row r="13" spans="2:6" ht="15.75" thickBot="1" x14ac:dyDescent="0.3">
      <c r="B13" s="154" t="s">
        <v>8</v>
      </c>
      <c r="C13" s="1007" t="s">
        <v>1125</v>
      </c>
      <c r="D13" s="1006"/>
      <c r="E13" s="1006"/>
      <c r="F13" s="1008"/>
    </row>
    <row r="14" spans="2:6" x14ac:dyDescent="0.25">
      <c r="B14" s="998" t="s">
        <v>102</v>
      </c>
      <c r="C14" s="640">
        <v>2018</v>
      </c>
      <c r="D14" s="640">
        <v>2019</v>
      </c>
      <c r="E14" s="640">
        <v>2020</v>
      </c>
      <c r="F14" s="640">
        <v>2021</v>
      </c>
    </row>
    <row r="15" spans="2:6" ht="15.75" thickBot="1" x14ac:dyDescent="0.3">
      <c r="B15" s="999"/>
      <c r="C15" s="641" t="s">
        <v>10</v>
      </c>
      <c r="D15" s="641" t="s">
        <v>11</v>
      </c>
      <c r="E15" s="641" t="s">
        <v>11</v>
      </c>
      <c r="F15" s="641" t="s">
        <v>11</v>
      </c>
    </row>
    <row r="16" spans="2:6" ht="60.75" thickBot="1" x14ac:dyDescent="0.3">
      <c r="B16" s="637" t="s">
        <v>1126</v>
      </c>
      <c r="C16" s="157" t="s">
        <v>1127</v>
      </c>
      <c r="D16" s="157" t="s">
        <v>1127</v>
      </c>
      <c r="E16" s="157"/>
      <c r="F16" s="157"/>
    </row>
    <row r="17" spans="2:6" ht="60" customHeight="1" thickBot="1" x14ac:dyDescent="0.3">
      <c r="B17" s="158" t="s">
        <v>12</v>
      </c>
      <c r="C17" s="1007" t="s">
        <v>1128</v>
      </c>
      <c r="D17" s="1006"/>
      <c r="E17" s="1006"/>
      <c r="F17" s="1008"/>
    </row>
    <row r="18" spans="2:6" ht="15.75" thickBot="1" x14ac:dyDescent="0.3">
      <c r="B18" s="983" t="s">
        <v>103</v>
      </c>
      <c r="C18" s="984"/>
      <c r="D18" s="984"/>
      <c r="E18" s="984"/>
      <c r="F18" s="985"/>
    </row>
    <row r="19" spans="2:6" ht="30.75" thickBot="1" x14ac:dyDescent="0.3">
      <c r="B19" s="637" t="s">
        <v>1129</v>
      </c>
      <c r="C19" s="157">
        <v>0.42</v>
      </c>
      <c r="D19" s="157">
        <v>0.44</v>
      </c>
      <c r="E19" s="157">
        <v>0.45</v>
      </c>
      <c r="F19" s="157">
        <v>0.46</v>
      </c>
    </row>
    <row r="20" spans="2:6" ht="15.75" thickBot="1" x14ac:dyDescent="0.3">
      <c r="B20" s="989" t="s">
        <v>14</v>
      </c>
      <c r="C20" s="990"/>
      <c r="D20" s="990"/>
      <c r="E20" s="990"/>
      <c r="F20" s="991"/>
    </row>
    <row r="21" spans="2:6" ht="15.75" thickBot="1" x14ac:dyDescent="0.3">
      <c r="B21" s="989" t="s">
        <v>104</v>
      </c>
      <c r="C21" s="990"/>
      <c r="D21" s="990"/>
      <c r="E21" s="990"/>
      <c r="F21" s="991"/>
    </row>
    <row r="22" spans="2:6" ht="15.75" thickBot="1" x14ac:dyDescent="0.3">
      <c r="B22" s="160" t="s">
        <v>105</v>
      </c>
      <c r="C22" s="992" t="s">
        <v>1130</v>
      </c>
      <c r="D22" s="993"/>
      <c r="E22" s="993"/>
      <c r="F22" s="994"/>
    </row>
    <row r="23" spans="2:6" ht="50.25" customHeight="1" thickBot="1" x14ac:dyDescent="0.3">
      <c r="B23" s="62" t="s">
        <v>17</v>
      </c>
      <c r="C23" s="983" t="s">
        <v>1131</v>
      </c>
      <c r="D23" s="984"/>
      <c r="E23" s="984"/>
      <c r="F23" s="985"/>
    </row>
    <row r="24" spans="2:6" ht="15.75" thickBot="1" x14ac:dyDescent="0.3">
      <c r="B24" s="62" t="s">
        <v>18</v>
      </c>
      <c r="C24" s="995" t="s">
        <v>1132</v>
      </c>
      <c r="D24" s="996"/>
      <c r="E24" s="996"/>
      <c r="F24" s="997"/>
    </row>
    <row r="25" spans="2:6" x14ac:dyDescent="0.25">
      <c r="B25" s="998"/>
      <c r="C25" s="63">
        <v>2018</v>
      </c>
      <c r="D25" s="63">
        <v>2019</v>
      </c>
      <c r="E25" s="63">
        <v>2020</v>
      </c>
      <c r="F25" s="63">
        <v>2021</v>
      </c>
    </row>
    <row r="26" spans="2:6" ht="15.75" thickBot="1" x14ac:dyDescent="0.3">
      <c r="B26" s="999"/>
      <c r="C26" s="64" t="s">
        <v>10</v>
      </c>
      <c r="D26" s="64" t="s">
        <v>11</v>
      </c>
      <c r="E26" s="64" t="s">
        <v>11</v>
      </c>
      <c r="F26" s="64" t="s">
        <v>11</v>
      </c>
    </row>
    <row r="27" spans="2:6" ht="15.75" thickBot="1" x14ac:dyDescent="0.3">
      <c r="B27" s="62" t="s">
        <v>19</v>
      </c>
      <c r="C27" s="161">
        <v>4000</v>
      </c>
      <c r="D27" s="161">
        <v>4200</v>
      </c>
      <c r="E27" s="161">
        <v>4300</v>
      </c>
      <c r="F27" s="161">
        <v>4500</v>
      </c>
    </row>
    <row r="28" spans="2:6" ht="15.75" thickBot="1" x14ac:dyDescent="0.3">
      <c r="B28" s="62" t="s">
        <v>20</v>
      </c>
      <c r="C28" s="161">
        <v>112000</v>
      </c>
      <c r="D28" s="161">
        <v>113100</v>
      </c>
      <c r="E28" s="161">
        <v>114000</v>
      </c>
      <c r="F28" s="161">
        <v>114500</v>
      </c>
    </row>
    <row r="29" spans="2:6" ht="15.75" thickBot="1" x14ac:dyDescent="0.3">
      <c r="B29" s="62" t="s">
        <v>21</v>
      </c>
      <c r="C29" s="161">
        <f>C28/C27</f>
        <v>28</v>
      </c>
      <c r="D29" s="161">
        <f t="shared" ref="D29:F29" si="0">D28/D27</f>
        <v>26.928571428571427</v>
      </c>
      <c r="E29" s="161">
        <f t="shared" si="0"/>
        <v>26.511627906976745</v>
      </c>
      <c r="F29" s="161">
        <f t="shared" si="0"/>
        <v>25.444444444444443</v>
      </c>
    </row>
    <row r="30" spans="2:6" ht="15.75" thickBot="1" x14ac:dyDescent="0.3">
      <c r="B30" s="62" t="s">
        <v>22</v>
      </c>
      <c r="C30" s="636" t="s">
        <v>23</v>
      </c>
      <c r="D30" s="162">
        <f>D27/C27-1</f>
        <v>5.0000000000000044E-2</v>
      </c>
      <c r="E30" s="162">
        <f t="shared" ref="E30:F32" si="1">E27/D27-1</f>
        <v>2.3809523809523725E-2</v>
      </c>
      <c r="F30" s="162">
        <f t="shared" si="1"/>
        <v>4.6511627906976827E-2</v>
      </c>
    </row>
    <row r="31" spans="2:6" ht="15.75" thickBot="1" x14ac:dyDescent="0.3">
      <c r="B31" s="62" t="s">
        <v>24</v>
      </c>
      <c r="C31" s="636" t="s">
        <v>23</v>
      </c>
      <c r="D31" s="162">
        <f>D28/C28-1</f>
        <v>9.8214285714286476E-3</v>
      </c>
      <c r="E31" s="162">
        <f t="shared" si="1"/>
        <v>7.9575596816976457E-3</v>
      </c>
      <c r="F31" s="162">
        <f t="shared" si="1"/>
        <v>4.3859649122806044E-3</v>
      </c>
    </row>
    <row r="32" spans="2:6" ht="15.75" thickBot="1" x14ac:dyDescent="0.3">
      <c r="B32" s="62" t="s">
        <v>25</v>
      </c>
      <c r="C32" s="636" t="s">
        <v>23</v>
      </c>
      <c r="D32" s="162">
        <f>D29/C29-1</f>
        <v>-3.826530612244905E-2</v>
      </c>
      <c r="E32" s="162">
        <f t="shared" si="1"/>
        <v>-1.5483313799272036E-2</v>
      </c>
      <c r="F32" s="162">
        <f t="shared" si="1"/>
        <v>-4.0253411306042985E-2</v>
      </c>
    </row>
    <row r="33" spans="2:6" ht="15.75" thickBot="1" x14ac:dyDescent="0.3">
      <c r="B33" s="1000" t="s">
        <v>784</v>
      </c>
      <c r="C33" s="1001"/>
      <c r="D33" s="1001"/>
      <c r="E33" s="1001"/>
      <c r="F33" s="1002"/>
    </row>
    <row r="34" spans="2:6" x14ac:dyDescent="0.25">
      <c r="B34" s="998"/>
      <c r="C34" s="63">
        <v>2018</v>
      </c>
      <c r="D34" s="63">
        <v>2019</v>
      </c>
      <c r="E34" s="63">
        <v>2020</v>
      </c>
      <c r="F34" s="63">
        <v>2021</v>
      </c>
    </row>
    <row r="35" spans="2:6" ht="15.75" thickBot="1" x14ac:dyDescent="0.3">
      <c r="B35" s="999"/>
      <c r="C35" s="64" t="s">
        <v>10</v>
      </c>
      <c r="D35" s="64" t="s">
        <v>11</v>
      </c>
      <c r="E35" s="64" t="s">
        <v>11</v>
      </c>
      <c r="F35" s="64" t="s">
        <v>11</v>
      </c>
    </row>
    <row r="36" spans="2:6" ht="15.75" thickBot="1" x14ac:dyDescent="0.3">
      <c r="B36" s="65" t="s">
        <v>26</v>
      </c>
      <c r="C36" s="164">
        <v>81800</v>
      </c>
      <c r="D36" s="164">
        <v>81800</v>
      </c>
      <c r="E36" s="164">
        <v>81800</v>
      </c>
      <c r="F36" s="164">
        <v>81800</v>
      </c>
    </row>
    <row r="37" spans="2:6" ht="15.75" thickBot="1" x14ac:dyDescent="0.3">
      <c r="B37" s="65" t="s">
        <v>28</v>
      </c>
      <c r="C37" s="164">
        <v>12700</v>
      </c>
      <c r="D37" s="164">
        <v>12700</v>
      </c>
      <c r="E37" s="164">
        <v>12700</v>
      </c>
      <c r="F37" s="164">
        <v>12700</v>
      </c>
    </row>
    <row r="38" spans="2:6" ht="15.75" thickBot="1" x14ac:dyDescent="0.3">
      <c r="B38" s="65" t="s">
        <v>30</v>
      </c>
      <c r="C38" s="165">
        <v>15400</v>
      </c>
      <c r="D38" s="164">
        <v>16500</v>
      </c>
      <c r="E38" s="164">
        <v>17400</v>
      </c>
      <c r="F38" s="164">
        <v>17900</v>
      </c>
    </row>
    <row r="39" spans="2:6" ht="15.75" thickBot="1" x14ac:dyDescent="0.3">
      <c r="B39" s="65" t="s">
        <v>32</v>
      </c>
      <c r="C39" s="165"/>
      <c r="D39" s="164"/>
      <c r="E39" s="164"/>
      <c r="F39" s="164"/>
    </row>
    <row r="40" spans="2:6" ht="15.75" thickBot="1" x14ac:dyDescent="0.3">
      <c r="B40" s="65" t="s">
        <v>34</v>
      </c>
      <c r="C40" s="165"/>
      <c r="D40" s="164"/>
      <c r="E40" s="164"/>
      <c r="F40" s="164"/>
    </row>
    <row r="41" spans="2:6" ht="15.75" thickBot="1" x14ac:dyDescent="0.3">
      <c r="B41" s="65" t="s">
        <v>36</v>
      </c>
      <c r="C41" s="165">
        <v>1600</v>
      </c>
      <c r="D41" s="164">
        <v>1600</v>
      </c>
      <c r="E41" s="164">
        <v>1600</v>
      </c>
      <c r="F41" s="164">
        <v>1600</v>
      </c>
    </row>
    <row r="42" spans="2:6" ht="15.75" thickBot="1" x14ac:dyDescent="0.3">
      <c r="B42" s="65" t="s">
        <v>38</v>
      </c>
      <c r="C42" s="165">
        <v>500</v>
      </c>
      <c r="D42" s="164">
        <v>500</v>
      </c>
      <c r="E42" s="164">
        <v>500</v>
      </c>
      <c r="F42" s="164">
        <v>500</v>
      </c>
    </row>
    <row r="43" spans="2:6" ht="15.75" thickBot="1" x14ac:dyDescent="0.3">
      <c r="B43" s="66" t="s">
        <v>40</v>
      </c>
      <c r="C43" s="165">
        <f>C42+C41+C40+C39+C38+C37+C36</f>
        <v>112000</v>
      </c>
      <c r="D43" s="165">
        <f>D42+D41+D40+D39+D38+D37+D36</f>
        <v>113100</v>
      </c>
      <c r="E43" s="165">
        <f>E42+E41+E40+E39+E38+E37+E36</f>
        <v>114000</v>
      </c>
      <c r="F43" s="165">
        <f>F42+F41+F40+F39+F38+F37+F36</f>
        <v>114500</v>
      </c>
    </row>
    <row r="44" spans="2:6" ht="15.75" thickBot="1" x14ac:dyDescent="0.3">
      <c r="B44" s="166" t="s">
        <v>41</v>
      </c>
      <c r="C44" s="167">
        <f>IF(C43-C28=0,0,"Error")</f>
        <v>0</v>
      </c>
      <c r="D44" s="167">
        <f>IF(D43-D28=0,0,"Error")</f>
        <v>0</v>
      </c>
      <c r="E44" s="167">
        <f>IF(E43-E28=0,0,"Error")</f>
        <v>0</v>
      </c>
      <c r="F44" s="167">
        <f>IF(F43-F28=0,0,"Error")</f>
        <v>0</v>
      </c>
    </row>
    <row r="45" spans="2:6" ht="15.75" thickBot="1" x14ac:dyDescent="0.3">
      <c r="B45" s="989" t="s">
        <v>63</v>
      </c>
      <c r="C45" s="990"/>
      <c r="D45" s="990"/>
      <c r="E45" s="990"/>
      <c r="F45" s="991"/>
    </row>
    <row r="46" spans="2:6" ht="15.75" thickBot="1" x14ac:dyDescent="0.3">
      <c r="B46" s="989" t="s">
        <v>56</v>
      </c>
      <c r="C46" s="990"/>
      <c r="D46" s="990"/>
      <c r="E46" s="990"/>
      <c r="F46" s="991"/>
    </row>
    <row r="47" spans="2:6" ht="15.75" thickBot="1" x14ac:dyDescent="0.3">
      <c r="B47" s="67" t="s">
        <v>61</v>
      </c>
      <c r="C47" s="1009" t="s">
        <v>1133</v>
      </c>
      <c r="D47" s="1010"/>
      <c r="E47" s="1010"/>
      <c r="F47" s="1011"/>
    </row>
    <row r="48" spans="2:6" ht="15.75" thickBot="1" x14ac:dyDescent="0.3">
      <c r="B48" s="160" t="s">
        <v>1134</v>
      </c>
      <c r="C48" s="992" t="s">
        <v>1135</v>
      </c>
      <c r="D48" s="993"/>
      <c r="E48" s="993"/>
      <c r="F48" s="994"/>
    </row>
    <row r="49" spans="2:6" ht="15.75" thickBot="1" x14ac:dyDescent="0.3">
      <c r="B49" s="62" t="s">
        <v>17</v>
      </c>
      <c r="C49" s="983" t="s">
        <v>1136</v>
      </c>
      <c r="D49" s="984"/>
      <c r="E49" s="984"/>
      <c r="F49" s="985"/>
    </row>
    <row r="50" spans="2:6" ht="15.75" thickBot="1" x14ac:dyDescent="0.3">
      <c r="B50" s="62" t="s">
        <v>18</v>
      </c>
      <c r="C50" s="995" t="s">
        <v>1137</v>
      </c>
      <c r="D50" s="996"/>
      <c r="E50" s="996"/>
      <c r="F50" s="997"/>
    </row>
    <row r="51" spans="2:6" x14ac:dyDescent="0.25">
      <c r="B51" s="998"/>
      <c r="C51" s="63">
        <v>2018</v>
      </c>
      <c r="D51" s="63">
        <v>2019</v>
      </c>
      <c r="E51" s="63">
        <v>2020</v>
      </c>
      <c r="F51" s="63">
        <v>2021</v>
      </c>
    </row>
    <row r="52" spans="2:6" ht="15.75" thickBot="1" x14ac:dyDescent="0.3">
      <c r="B52" s="999"/>
      <c r="C52" s="64" t="s">
        <v>10</v>
      </c>
      <c r="D52" s="64" t="s">
        <v>11</v>
      </c>
      <c r="E52" s="64" t="s">
        <v>11</v>
      </c>
      <c r="F52" s="64" t="s">
        <v>11</v>
      </c>
    </row>
    <row r="53" spans="2:6" ht="15.75" thickBot="1" x14ac:dyDescent="0.3">
      <c r="B53" s="62" t="s">
        <v>19</v>
      </c>
      <c r="C53" s="161">
        <v>16</v>
      </c>
      <c r="D53" s="161"/>
      <c r="E53" s="161"/>
      <c r="F53" s="161"/>
    </row>
    <row r="54" spans="2:6" ht="15.75" thickBot="1" x14ac:dyDescent="0.3">
      <c r="B54" s="62" t="s">
        <v>20</v>
      </c>
      <c r="C54" s="161">
        <v>1500</v>
      </c>
      <c r="D54" s="161"/>
      <c r="E54" s="161"/>
      <c r="F54" s="161"/>
    </row>
    <row r="55" spans="2:6" ht="15.75" thickBot="1" x14ac:dyDescent="0.3">
      <c r="B55" s="62" t="s">
        <v>21</v>
      </c>
      <c r="C55" s="161">
        <f>C54/C53</f>
        <v>93.75</v>
      </c>
      <c r="D55" s="161" t="e">
        <f t="shared" ref="D55:F55" si="2">D54/D53</f>
        <v>#DIV/0!</v>
      </c>
      <c r="E55" s="161" t="e">
        <f t="shared" si="2"/>
        <v>#DIV/0!</v>
      </c>
      <c r="F55" s="161" t="e">
        <f t="shared" si="2"/>
        <v>#DIV/0!</v>
      </c>
    </row>
    <row r="56" spans="2:6" ht="15.75" thickBot="1" x14ac:dyDescent="0.3">
      <c r="B56" s="62" t="s">
        <v>22</v>
      </c>
      <c r="C56" s="636" t="s">
        <v>23</v>
      </c>
      <c r="D56" s="162">
        <f>D53/C53-1</f>
        <v>-1</v>
      </c>
      <c r="E56" s="162" t="e">
        <f t="shared" ref="E56:F58" si="3">E53/D53-1</f>
        <v>#DIV/0!</v>
      </c>
      <c r="F56" s="162" t="e">
        <f t="shared" si="3"/>
        <v>#DIV/0!</v>
      </c>
    </row>
    <row r="57" spans="2:6" ht="15.75" thickBot="1" x14ac:dyDescent="0.3">
      <c r="B57" s="62" t="s">
        <v>24</v>
      </c>
      <c r="C57" s="636" t="s">
        <v>23</v>
      </c>
      <c r="D57" s="162">
        <f>D54/C54-1</f>
        <v>-1</v>
      </c>
      <c r="E57" s="162" t="e">
        <f t="shared" si="3"/>
        <v>#DIV/0!</v>
      </c>
      <c r="F57" s="162" t="e">
        <f t="shared" si="3"/>
        <v>#DIV/0!</v>
      </c>
    </row>
    <row r="58" spans="2:6" ht="15.75" thickBot="1" x14ac:dyDescent="0.3">
      <c r="B58" s="62" t="s">
        <v>25</v>
      </c>
      <c r="C58" s="636" t="s">
        <v>23</v>
      </c>
      <c r="D58" s="162" t="e">
        <f>D55/C55-1</f>
        <v>#DIV/0!</v>
      </c>
      <c r="E58" s="162" t="e">
        <f t="shared" si="3"/>
        <v>#DIV/0!</v>
      </c>
      <c r="F58" s="162" t="e">
        <f t="shared" si="3"/>
        <v>#DIV/0!</v>
      </c>
    </row>
    <row r="59" spans="2:6" ht="15.75" thickBot="1" x14ac:dyDescent="0.3">
      <c r="B59" s="1000" t="s">
        <v>784</v>
      </c>
      <c r="C59" s="1001"/>
      <c r="D59" s="1001"/>
      <c r="E59" s="1001"/>
      <c r="F59" s="1002"/>
    </row>
    <row r="60" spans="2:6" x14ac:dyDescent="0.25">
      <c r="B60" s="998"/>
      <c r="C60" s="63">
        <v>2018</v>
      </c>
      <c r="D60" s="63">
        <v>2019</v>
      </c>
      <c r="E60" s="63">
        <v>2020</v>
      </c>
      <c r="F60" s="63">
        <v>2021</v>
      </c>
    </row>
    <row r="61" spans="2:6" ht="15.75" thickBot="1" x14ac:dyDescent="0.3">
      <c r="B61" s="999"/>
      <c r="C61" s="64" t="s">
        <v>10</v>
      </c>
      <c r="D61" s="64" t="s">
        <v>11</v>
      </c>
      <c r="E61" s="64" t="s">
        <v>11</v>
      </c>
      <c r="F61" s="64" t="s">
        <v>11</v>
      </c>
    </row>
    <row r="62" spans="2:6" ht="15.75" thickBot="1" x14ac:dyDescent="0.3">
      <c r="B62" s="65" t="s">
        <v>58</v>
      </c>
      <c r="C62" s="164"/>
      <c r="D62" s="164"/>
      <c r="E62" s="164"/>
      <c r="F62" s="164"/>
    </row>
    <row r="63" spans="2:6" ht="15.75" thickBot="1" x14ac:dyDescent="0.3">
      <c r="B63" s="65" t="s">
        <v>59</v>
      </c>
      <c r="C63" s="165">
        <v>1500</v>
      </c>
      <c r="D63" s="164"/>
      <c r="E63" s="164"/>
      <c r="F63" s="164"/>
    </row>
    <row r="64" spans="2:6" ht="15.75" thickBot="1" x14ac:dyDescent="0.3">
      <c r="B64" s="66" t="s">
        <v>40</v>
      </c>
      <c r="C64" s="165">
        <f>C63+C62</f>
        <v>1500</v>
      </c>
      <c r="D64" s="165">
        <f t="shared" ref="D64:F64" si="4">D63+D62</f>
        <v>0</v>
      </c>
      <c r="E64" s="165">
        <f t="shared" si="4"/>
        <v>0</v>
      </c>
      <c r="F64" s="165">
        <f t="shared" si="4"/>
        <v>0</v>
      </c>
    </row>
    <row r="65" spans="2:6" ht="15.75" thickBot="1" x14ac:dyDescent="0.3">
      <c r="B65" s="67" t="s">
        <v>61</v>
      </c>
      <c r="C65" s="1009" t="s">
        <v>1138</v>
      </c>
      <c r="D65" s="1010"/>
      <c r="E65" s="1010"/>
      <c r="F65" s="1011"/>
    </row>
    <row r="66" spans="2:6" ht="15.75" thickBot="1" x14ac:dyDescent="0.3">
      <c r="B66" s="160" t="s">
        <v>846</v>
      </c>
      <c r="C66" s="992" t="s">
        <v>1139</v>
      </c>
      <c r="D66" s="993"/>
      <c r="E66" s="993"/>
      <c r="F66" s="994"/>
    </row>
    <row r="67" spans="2:6" ht="15.75" thickBot="1" x14ac:dyDescent="0.3">
      <c r="B67" s="62" t="s">
        <v>17</v>
      </c>
      <c r="C67" s="983" t="s">
        <v>952</v>
      </c>
      <c r="D67" s="984"/>
      <c r="E67" s="984"/>
      <c r="F67" s="985"/>
    </row>
    <row r="68" spans="2:6" ht="15.75" thickBot="1" x14ac:dyDescent="0.3">
      <c r="B68" s="62" t="s">
        <v>18</v>
      </c>
      <c r="C68" s="995" t="s">
        <v>1137</v>
      </c>
      <c r="D68" s="996"/>
      <c r="E68" s="996"/>
      <c r="F68" s="997"/>
    </row>
    <row r="69" spans="2:6" x14ac:dyDescent="0.25">
      <c r="B69" s="998"/>
      <c r="C69" s="63">
        <v>2018</v>
      </c>
      <c r="D69" s="63">
        <v>2019</v>
      </c>
      <c r="E69" s="63">
        <v>2020</v>
      </c>
      <c r="F69" s="63">
        <v>2021</v>
      </c>
    </row>
    <row r="70" spans="2:6" ht="15.75" thickBot="1" x14ac:dyDescent="0.3">
      <c r="B70" s="999"/>
      <c r="C70" s="64" t="s">
        <v>10</v>
      </c>
      <c r="D70" s="64" t="s">
        <v>11</v>
      </c>
      <c r="E70" s="64" t="s">
        <v>11</v>
      </c>
      <c r="F70" s="64" t="s">
        <v>11</v>
      </c>
    </row>
    <row r="71" spans="2:6" ht="15.75" thickBot="1" x14ac:dyDescent="0.3">
      <c r="B71" s="62" t="s">
        <v>19</v>
      </c>
      <c r="C71" s="161"/>
      <c r="D71" s="161">
        <v>40</v>
      </c>
      <c r="E71" s="161">
        <v>40</v>
      </c>
      <c r="F71" s="161">
        <v>40</v>
      </c>
    </row>
    <row r="72" spans="2:6" ht="15.75" thickBot="1" x14ac:dyDescent="0.3">
      <c r="B72" s="62" t="s">
        <v>20</v>
      </c>
      <c r="C72" s="161"/>
      <c r="D72" s="161">
        <v>4000</v>
      </c>
      <c r="E72" s="161">
        <v>4000</v>
      </c>
      <c r="F72" s="161">
        <v>4000</v>
      </c>
    </row>
    <row r="73" spans="2:6" ht="15.75" thickBot="1" x14ac:dyDescent="0.3">
      <c r="B73" s="62" t="s">
        <v>21</v>
      </c>
      <c r="C73" s="161"/>
      <c r="D73" s="161">
        <f t="shared" ref="D73:F73" si="5">D72/D71</f>
        <v>100</v>
      </c>
      <c r="E73" s="161">
        <f t="shared" si="5"/>
        <v>100</v>
      </c>
      <c r="F73" s="161">
        <f t="shared" si="5"/>
        <v>100</v>
      </c>
    </row>
    <row r="74" spans="2:6" ht="15.75" thickBot="1" x14ac:dyDescent="0.3">
      <c r="B74" s="62" t="s">
        <v>22</v>
      </c>
      <c r="C74" s="636" t="s">
        <v>23</v>
      </c>
      <c r="D74" s="162" t="e">
        <f>D71/C71-1</f>
        <v>#DIV/0!</v>
      </c>
      <c r="E74" s="162">
        <f t="shared" ref="E74:F76" si="6">E71/D71-1</f>
        <v>0</v>
      </c>
      <c r="F74" s="162">
        <f t="shared" si="6"/>
        <v>0</v>
      </c>
    </row>
    <row r="75" spans="2:6" ht="15.75" thickBot="1" x14ac:dyDescent="0.3">
      <c r="B75" s="62" t="s">
        <v>24</v>
      </c>
      <c r="C75" s="636" t="s">
        <v>23</v>
      </c>
      <c r="D75" s="162" t="e">
        <f>D72/C72-1</f>
        <v>#DIV/0!</v>
      </c>
      <c r="E75" s="162">
        <f t="shared" si="6"/>
        <v>0</v>
      </c>
      <c r="F75" s="162">
        <f t="shared" si="6"/>
        <v>0</v>
      </c>
    </row>
    <row r="76" spans="2:6" ht="15.75" thickBot="1" x14ac:dyDescent="0.3">
      <c r="B76" s="62" t="s">
        <v>25</v>
      </c>
      <c r="C76" s="636" t="s">
        <v>23</v>
      </c>
      <c r="D76" s="162" t="e">
        <f>D73/C73-1</f>
        <v>#DIV/0!</v>
      </c>
      <c r="E76" s="162">
        <f t="shared" si="6"/>
        <v>0</v>
      </c>
      <c r="F76" s="162">
        <f t="shared" si="6"/>
        <v>0</v>
      </c>
    </row>
    <row r="77" spans="2:6" ht="15.75" thickBot="1" x14ac:dyDescent="0.3">
      <c r="B77" s="1000" t="s">
        <v>786</v>
      </c>
      <c r="C77" s="1001"/>
      <c r="D77" s="1001"/>
      <c r="E77" s="1001"/>
      <c r="F77" s="1002"/>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5" t="s">
        <v>58</v>
      </c>
      <c r="C80" s="164"/>
      <c r="D80" s="164"/>
      <c r="E80" s="164"/>
      <c r="F80" s="164"/>
    </row>
    <row r="81" spans="2:6" ht="15.75" thickBot="1" x14ac:dyDescent="0.3">
      <c r="B81" s="65" t="s">
        <v>59</v>
      </c>
      <c r="C81" s="165"/>
      <c r="D81" s="164">
        <v>4000</v>
      </c>
      <c r="E81" s="164">
        <v>4000</v>
      </c>
      <c r="F81" s="164">
        <v>4000</v>
      </c>
    </row>
    <row r="82" spans="2:6" ht="15.75" thickBot="1" x14ac:dyDescent="0.3">
      <c r="B82" s="66" t="s">
        <v>43</v>
      </c>
      <c r="C82" s="165">
        <f>C81+C80</f>
        <v>0</v>
      </c>
      <c r="D82" s="165">
        <f t="shared" ref="D82:F82" si="7">D81+D80</f>
        <v>4000</v>
      </c>
      <c r="E82" s="165">
        <f t="shared" si="7"/>
        <v>4000</v>
      </c>
      <c r="F82" s="165">
        <f t="shared" si="7"/>
        <v>4000</v>
      </c>
    </row>
    <row r="83" spans="2:6" ht="15.75" thickBot="1" x14ac:dyDescent="0.3">
      <c r="B83" s="989" t="s">
        <v>63</v>
      </c>
      <c r="C83" s="990"/>
      <c r="D83" s="990"/>
      <c r="E83" s="990"/>
      <c r="F83" s="991"/>
    </row>
    <row r="84" spans="2:6" ht="15.75" thickBot="1" x14ac:dyDescent="0.3">
      <c r="B84" s="989" t="s">
        <v>64</v>
      </c>
      <c r="C84" s="990"/>
      <c r="D84" s="990"/>
      <c r="E84" s="990"/>
      <c r="F84" s="991"/>
    </row>
    <row r="85" spans="2:6" ht="15.75" thickBot="1" x14ac:dyDescent="0.3">
      <c r="B85" s="67" t="s">
        <v>61</v>
      </c>
      <c r="C85" s="1009" t="s">
        <v>1140</v>
      </c>
      <c r="D85" s="1010"/>
      <c r="E85" s="1010"/>
      <c r="F85" s="1011"/>
    </row>
    <row r="86" spans="2:6" ht="15.75" thickBot="1" x14ac:dyDescent="0.3">
      <c r="B86" s="160" t="s">
        <v>16</v>
      </c>
      <c r="C86" s="1009" t="s">
        <v>1141</v>
      </c>
      <c r="D86" s="1010"/>
      <c r="E86" s="1010"/>
      <c r="F86" s="1011"/>
    </row>
    <row r="87" spans="2:6" ht="15.75" thickBot="1" x14ac:dyDescent="0.3">
      <c r="B87" s="62" t="s">
        <v>17</v>
      </c>
      <c r="C87" s="983" t="s">
        <v>1141</v>
      </c>
      <c r="D87" s="984"/>
      <c r="E87" s="984"/>
      <c r="F87" s="985"/>
    </row>
    <row r="88" spans="2:6" ht="15.75" thickBot="1" x14ac:dyDescent="0.3">
      <c r="B88" s="62" t="s">
        <v>18</v>
      </c>
      <c r="C88" s="995" t="s">
        <v>1142</v>
      </c>
      <c r="D88" s="996"/>
      <c r="E88" s="996"/>
      <c r="F88" s="997"/>
    </row>
    <row r="89" spans="2:6" x14ac:dyDescent="0.25">
      <c r="B89" s="998"/>
      <c r="C89" s="63">
        <v>2018</v>
      </c>
      <c r="D89" s="63">
        <v>2019</v>
      </c>
      <c r="E89" s="63">
        <v>2020</v>
      </c>
      <c r="F89" s="63">
        <v>2021</v>
      </c>
    </row>
    <row r="90" spans="2:6" ht="15.75" thickBot="1" x14ac:dyDescent="0.3">
      <c r="B90" s="999"/>
      <c r="C90" s="64" t="s">
        <v>10</v>
      </c>
      <c r="D90" s="64" t="s">
        <v>11</v>
      </c>
      <c r="E90" s="64" t="s">
        <v>11</v>
      </c>
      <c r="F90" s="64" t="s">
        <v>11</v>
      </c>
    </row>
    <row r="91" spans="2:6" ht="15.75" thickBot="1" x14ac:dyDescent="0.3">
      <c r="B91" s="62" t="s">
        <v>19</v>
      </c>
      <c r="C91" s="161">
        <v>770</v>
      </c>
      <c r="D91" s="161"/>
      <c r="E91" s="161"/>
      <c r="F91" s="161"/>
    </row>
    <row r="92" spans="2:6" ht="15.75" thickBot="1" x14ac:dyDescent="0.3">
      <c r="B92" s="62" t="s">
        <v>20</v>
      </c>
      <c r="C92" s="161">
        <v>2500</v>
      </c>
      <c r="D92" s="161"/>
      <c r="E92" s="161"/>
      <c r="F92" s="161"/>
    </row>
    <row r="93" spans="2:6" ht="15.75" thickBot="1" x14ac:dyDescent="0.3">
      <c r="B93" s="62" t="s">
        <v>21</v>
      </c>
      <c r="C93" s="161">
        <f>C92/C91</f>
        <v>3.2467532467532467</v>
      </c>
      <c r="D93" s="161" t="e">
        <f t="shared" ref="D93:F93" si="8">D92/D91</f>
        <v>#DIV/0!</v>
      </c>
      <c r="E93" s="161" t="e">
        <f t="shared" si="8"/>
        <v>#DIV/0!</v>
      </c>
      <c r="F93" s="161" t="e">
        <f t="shared" si="8"/>
        <v>#DIV/0!</v>
      </c>
    </row>
    <row r="94" spans="2:6" ht="15.75" thickBot="1" x14ac:dyDescent="0.3">
      <c r="B94" s="62" t="s">
        <v>22</v>
      </c>
      <c r="C94" s="636" t="s">
        <v>23</v>
      </c>
      <c r="D94" s="162">
        <f>D91/C91-1</f>
        <v>-1</v>
      </c>
      <c r="E94" s="162" t="e">
        <f t="shared" ref="E94:F96" si="9">E91/D91-1</f>
        <v>#DIV/0!</v>
      </c>
      <c r="F94" s="162" t="e">
        <f t="shared" si="9"/>
        <v>#DIV/0!</v>
      </c>
    </row>
    <row r="95" spans="2:6" ht="15.75" thickBot="1" x14ac:dyDescent="0.3">
      <c r="B95" s="62" t="s">
        <v>24</v>
      </c>
      <c r="C95" s="636" t="s">
        <v>23</v>
      </c>
      <c r="D95" s="162">
        <f>D92/C92-1</f>
        <v>-1</v>
      </c>
      <c r="E95" s="162" t="e">
        <f t="shared" si="9"/>
        <v>#DIV/0!</v>
      </c>
      <c r="F95" s="162" t="e">
        <f t="shared" si="9"/>
        <v>#DIV/0!</v>
      </c>
    </row>
    <row r="96" spans="2:6" ht="15.75" thickBot="1" x14ac:dyDescent="0.3">
      <c r="B96" s="62" t="s">
        <v>25</v>
      </c>
      <c r="C96" s="636" t="s">
        <v>23</v>
      </c>
      <c r="D96" s="162" t="e">
        <f>D93/C93-1</f>
        <v>#DIV/0!</v>
      </c>
      <c r="E96" s="162" t="e">
        <f t="shared" si="9"/>
        <v>#DIV/0!</v>
      </c>
      <c r="F96" s="162" t="e">
        <f t="shared" si="9"/>
        <v>#DIV/0!</v>
      </c>
    </row>
    <row r="97" spans="2:6" ht="15.75" thickBot="1" x14ac:dyDescent="0.3">
      <c r="B97" s="1000" t="s">
        <v>784</v>
      </c>
      <c r="C97" s="1001"/>
      <c r="D97" s="1001"/>
      <c r="E97" s="1001"/>
      <c r="F97" s="1002"/>
    </row>
    <row r="98" spans="2:6" x14ac:dyDescent="0.25">
      <c r="B98" s="998"/>
      <c r="C98" s="63">
        <v>2018</v>
      </c>
      <c r="D98" s="63">
        <v>2019</v>
      </c>
      <c r="E98" s="63">
        <v>2020</v>
      </c>
      <c r="F98" s="63">
        <v>2021</v>
      </c>
    </row>
    <row r="99" spans="2:6" ht="15.75" thickBot="1" x14ac:dyDescent="0.3">
      <c r="B99" s="999"/>
      <c r="C99" s="64" t="s">
        <v>10</v>
      </c>
      <c r="D99" s="64" t="s">
        <v>11</v>
      </c>
      <c r="E99" s="64" t="s">
        <v>11</v>
      </c>
      <c r="F99" s="64" t="s">
        <v>11</v>
      </c>
    </row>
    <row r="100" spans="2:6" ht="15.75" thickBot="1" x14ac:dyDescent="0.3">
      <c r="B100" s="65" t="s">
        <v>58</v>
      </c>
      <c r="C100" s="164"/>
      <c r="D100" s="164"/>
      <c r="E100" s="164"/>
      <c r="F100" s="164"/>
    </row>
    <row r="101" spans="2:6" ht="15.75" thickBot="1" x14ac:dyDescent="0.3">
      <c r="B101" s="65" t="s">
        <v>59</v>
      </c>
      <c r="C101" s="165">
        <v>2500</v>
      </c>
      <c r="D101" s="164"/>
      <c r="E101" s="164"/>
      <c r="F101" s="164"/>
    </row>
    <row r="102" spans="2:6" ht="15.75" thickBot="1" x14ac:dyDescent="0.3">
      <c r="B102" s="66" t="s">
        <v>40</v>
      </c>
      <c r="C102" s="165">
        <f>C101+C100</f>
        <v>2500</v>
      </c>
      <c r="D102" s="165">
        <f t="shared" ref="D102:F102" si="10">D101+D100</f>
        <v>0</v>
      </c>
      <c r="E102" s="165">
        <f t="shared" si="10"/>
        <v>0</v>
      </c>
      <c r="F102" s="165">
        <f t="shared" si="10"/>
        <v>0</v>
      </c>
    </row>
    <row r="103" spans="2:6" ht="15.75" thickBot="1" x14ac:dyDescent="0.3">
      <c r="B103" s="175"/>
      <c r="C103" s="176"/>
      <c r="D103" s="176"/>
      <c r="E103" s="176"/>
      <c r="F103" s="176"/>
    </row>
    <row r="104" spans="2:6" ht="30.75" thickBot="1" x14ac:dyDescent="0.3">
      <c r="B104" s="158" t="s">
        <v>82</v>
      </c>
      <c r="C104" s="177">
        <f>C28+C54+C72+C92</f>
        <v>116000</v>
      </c>
      <c r="D104" s="177">
        <f t="shared" ref="D104:F104" si="11">D28+D54+D72+D92</f>
        <v>117100</v>
      </c>
      <c r="E104" s="177">
        <f t="shared" si="11"/>
        <v>118000</v>
      </c>
      <c r="F104" s="177">
        <f t="shared" si="11"/>
        <v>118500</v>
      </c>
    </row>
    <row r="105" spans="2:6" ht="30.75" thickBot="1" x14ac:dyDescent="0.3">
      <c r="B105" s="158" t="s">
        <v>83</v>
      </c>
      <c r="C105" s="177">
        <f>C107+C109+C111+C113+C115+C117+C119+C121+C123</f>
        <v>116000</v>
      </c>
      <c r="D105" s="177">
        <f>D107+D109+D111+D113+D115+D117+D119+D121+D123</f>
        <v>117100</v>
      </c>
      <c r="E105" s="177">
        <f>E107+E109+E111+E113+E115+E117+E119+E121+E123</f>
        <v>118000</v>
      </c>
      <c r="F105" s="177">
        <f>F107+F109+F111+F113+F115+F117+F119+F121+F123</f>
        <v>118500</v>
      </c>
    </row>
    <row r="106" spans="2:6" ht="30.75" thickBot="1" x14ac:dyDescent="0.3">
      <c r="B106" s="178" t="s">
        <v>84</v>
      </c>
      <c r="C106" s="179"/>
      <c r="D106" s="180">
        <f>D105/C105-1</f>
        <v>9.4827586206895909E-3</v>
      </c>
      <c r="E106" s="180">
        <f t="shared" ref="E106:F106" si="12">E105/D105-1</f>
        <v>7.6857386848847575E-3</v>
      </c>
      <c r="F106" s="180">
        <f t="shared" si="12"/>
        <v>4.237288135593209E-3</v>
      </c>
    </row>
    <row r="107" spans="2:6" ht="15.75" thickBot="1" x14ac:dyDescent="0.3">
      <c r="B107" s="65" t="s">
        <v>26</v>
      </c>
      <c r="C107" s="164">
        <f>C36</f>
        <v>81800</v>
      </c>
      <c r="D107" s="164">
        <f t="shared" ref="D107:F107" si="13">D36</f>
        <v>81800</v>
      </c>
      <c r="E107" s="164">
        <f t="shared" si="13"/>
        <v>81800</v>
      </c>
      <c r="F107" s="164">
        <f t="shared" si="13"/>
        <v>81800</v>
      </c>
    </row>
    <row r="108" spans="2:6" ht="15.75" thickBot="1" x14ac:dyDescent="0.3">
      <c r="B108" s="181" t="s">
        <v>85</v>
      </c>
      <c r="C108" s="165"/>
      <c r="D108" s="182">
        <f>D107/C107-1</f>
        <v>0</v>
      </c>
      <c r="E108" s="182">
        <f t="shared" ref="E108:F108" si="14">E107/D107-1</f>
        <v>0</v>
      </c>
      <c r="F108" s="182">
        <f t="shared" si="14"/>
        <v>0</v>
      </c>
    </row>
    <row r="109" spans="2:6" ht="15.75" thickBot="1" x14ac:dyDescent="0.3">
      <c r="B109" s="65" t="s">
        <v>28</v>
      </c>
      <c r="C109" s="164">
        <f>C37</f>
        <v>12700</v>
      </c>
      <c r="D109" s="164">
        <f t="shared" ref="D109:F109" si="15">D37</f>
        <v>12700</v>
      </c>
      <c r="E109" s="164">
        <f t="shared" si="15"/>
        <v>12700</v>
      </c>
      <c r="F109" s="164">
        <f t="shared" si="15"/>
        <v>12700</v>
      </c>
    </row>
    <row r="110" spans="2:6" ht="15.75" thickBot="1" x14ac:dyDescent="0.3">
      <c r="B110" s="181" t="s">
        <v>86</v>
      </c>
      <c r="C110" s="165"/>
      <c r="D110" s="182">
        <f>D109/C109-1</f>
        <v>0</v>
      </c>
      <c r="E110" s="182">
        <f t="shared" ref="E110:F110" si="16">E109/D109-1</f>
        <v>0</v>
      </c>
      <c r="F110" s="182">
        <f t="shared" si="16"/>
        <v>0</v>
      </c>
    </row>
    <row r="111" spans="2:6" ht="15.75" thickBot="1" x14ac:dyDescent="0.3">
      <c r="B111" s="65" t="s">
        <v>30</v>
      </c>
      <c r="C111" s="164">
        <f>C38</f>
        <v>15400</v>
      </c>
      <c r="D111" s="164">
        <f t="shared" ref="D111:F111" si="17">D38</f>
        <v>16500</v>
      </c>
      <c r="E111" s="164">
        <f t="shared" si="17"/>
        <v>17400</v>
      </c>
      <c r="F111" s="164">
        <f t="shared" si="17"/>
        <v>17900</v>
      </c>
    </row>
    <row r="112" spans="2:6" ht="15.75" thickBot="1" x14ac:dyDescent="0.3">
      <c r="B112" s="181" t="s">
        <v>87</v>
      </c>
      <c r="C112" s="165"/>
      <c r="D112" s="182">
        <f>D111/C111-1</f>
        <v>7.1428571428571397E-2</v>
      </c>
      <c r="E112" s="182">
        <f t="shared" ref="E112:F112" si="18">E111/D111-1</f>
        <v>5.4545454545454453E-2</v>
      </c>
      <c r="F112" s="182">
        <f t="shared" si="18"/>
        <v>2.8735632183908066E-2</v>
      </c>
    </row>
    <row r="113" spans="2:6" ht="15.75" thickBot="1" x14ac:dyDescent="0.3">
      <c r="B113" s="65" t="s">
        <v>32</v>
      </c>
      <c r="C113" s="164">
        <f>C39</f>
        <v>0</v>
      </c>
      <c r="D113" s="164">
        <f t="shared" ref="D113:F113" si="19">D39</f>
        <v>0</v>
      </c>
      <c r="E113" s="164">
        <f t="shared" si="19"/>
        <v>0</v>
      </c>
      <c r="F113" s="164">
        <f t="shared" si="19"/>
        <v>0</v>
      </c>
    </row>
    <row r="114" spans="2:6" ht="15.75" thickBot="1" x14ac:dyDescent="0.3">
      <c r="B114" s="181" t="s">
        <v>88</v>
      </c>
      <c r="C114" s="165"/>
      <c r="D114" s="182" t="e">
        <f>D113/C113-1</f>
        <v>#DIV/0!</v>
      </c>
      <c r="E114" s="182" t="e">
        <f t="shared" ref="E114:F114" si="20">E113/D113-1</f>
        <v>#DIV/0!</v>
      </c>
      <c r="F114" s="182" t="e">
        <f t="shared" si="20"/>
        <v>#DIV/0!</v>
      </c>
    </row>
    <row r="115" spans="2:6" ht="15.75" thickBot="1" x14ac:dyDescent="0.3">
      <c r="B115" s="65" t="s">
        <v>34</v>
      </c>
      <c r="C115" s="164">
        <f>C40</f>
        <v>0</v>
      </c>
      <c r="D115" s="164">
        <f t="shared" ref="D115:F115" si="21">D40</f>
        <v>0</v>
      </c>
      <c r="E115" s="164">
        <f t="shared" si="21"/>
        <v>0</v>
      </c>
      <c r="F115" s="164">
        <f t="shared" si="21"/>
        <v>0</v>
      </c>
    </row>
    <row r="116" spans="2:6" ht="15.75" thickBot="1" x14ac:dyDescent="0.3">
      <c r="B116" s="181" t="s">
        <v>89</v>
      </c>
      <c r="C116" s="165"/>
      <c r="D116" s="182" t="e">
        <f>D115/C115-1</f>
        <v>#DIV/0!</v>
      </c>
      <c r="E116" s="182" t="e">
        <f t="shared" ref="E116:F116" si="22">E115/D115-1</f>
        <v>#DIV/0!</v>
      </c>
      <c r="F116" s="182" t="e">
        <f t="shared" si="22"/>
        <v>#DIV/0!</v>
      </c>
    </row>
    <row r="117" spans="2:6" ht="15.75" thickBot="1" x14ac:dyDescent="0.3">
      <c r="B117" s="65" t="s">
        <v>36</v>
      </c>
      <c r="C117" s="164">
        <f>C41</f>
        <v>1600</v>
      </c>
      <c r="D117" s="164">
        <f t="shared" ref="D117:F117" si="23">D41</f>
        <v>1600</v>
      </c>
      <c r="E117" s="164">
        <f t="shared" si="23"/>
        <v>1600</v>
      </c>
      <c r="F117" s="164">
        <f t="shared" si="23"/>
        <v>1600</v>
      </c>
    </row>
    <row r="118" spans="2:6" ht="15.75" thickBot="1" x14ac:dyDescent="0.3">
      <c r="B118" s="181" t="s">
        <v>90</v>
      </c>
      <c r="C118" s="165"/>
      <c r="D118" s="182">
        <f>D117/C117-1</f>
        <v>0</v>
      </c>
      <c r="E118" s="182">
        <f t="shared" ref="E118:F118" si="24">E117/D117-1</f>
        <v>0</v>
      </c>
      <c r="F118" s="182">
        <f t="shared" si="24"/>
        <v>0</v>
      </c>
    </row>
    <row r="119" spans="2:6" ht="15.75" thickBot="1" x14ac:dyDescent="0.3">
      <c r="B119" s="65" t="s">
        <v>38</v>
      </c>
      <c r="C119" s="164">
        <f>C42</f>
        <v>500</v>
      </c>
      <c r="D119" s="164">
        <f t="shared" ref="D119:F119" si="25">D42</f>
        <v>500</v>
      </c>
      <c r="E119" s="164">
        <f t="shared" si="25"/>
        <v>500</v>
      </c>
      <c r="F119" s="164">
        <f t="shared" si="25"/>
        <v>500</v>
      </c>
    </row>
    <row r="120" spans="2:6" ht="15.75" thickBot="1" x14ac:dyDescent="0.3">
      <c r="B120" s="181" t="s">
        <v>91</v>
      </c>
      <c r="C120" s="165"/>
      <c r="D120" s="182">
        <f>D119/C119-1</f>
        <v>0</v>
      </c>
      <c r="E120" s="182">
        <f t="shared" ref="E120:F120" si="26">E119/D119-1</f>
        <v>0</v>
      </c>
      <c r="F120" s="182">
        <f t="shared" si="26"/>
        <v>0</v>
      </c>
    </row>
    <row r="121" spans="2:6" ht="15.75" thickBot="1" x14ac:dyDescent="0.3">
      <c r="B121" s="65" t="s">
        <v>92</v>
      </c>
      <c r="C121" s="164">
        <f>C62+C80+C100</f>
        <v>0</v>
      </c>
      <c r="D121" s="164">
        <f t="shared" ref="D121:F121" si="27">D62+D80+D100</f>
        <v>0</v>
      </c>
      <c r="E121" s="164">
        <f t="shared" si="27"/>
        <v>0</v>
      </c>
      <c r="F121" s="164">
        <f t="shared" si="27"/>
        <v>0</v>
      </c>
    </row>
    <row r="122" spans="2:6" ht="15.75" thickBot="1" x14ac:dyDescent="0.3">
      <c r="B122" s="181" t="s">
        <v>93</v>
      </c>
      <c r="C122" s="165"/>
      <c r="D122" s="182" t="e">
        <f>D121/C121-1</f>
        <v>#DIV/0!</v>
      </c>
      <c r="E122" s="182" t="e">
        <f t="shared" ref="E122:F122" si="28">E121/D121-1</f>
        <v>#DIV/0!</v>
      </c>
      <c r="F122" s="182" t="e">
        <f t="shared" si="28"/>
        <v>#DIV/0!</v>
      </c>
    </row>
    <row r="123" spans="2:6" ht="15.75" thickBot="1" x14ac:dyDescent="0.3">
      <c r="B123" s="65" t="s">
        <v>94</v>
      </c>
      <c r="C123" s="164">
        <f>C63+C81+C101</f>
        <v>4000</v>
      </c>
      <c r="D123" s="164">
        <f t="shared" ref="D123:F123" si="29">D63+D81+D101</f>
        <v>4000</v>
      </c>
      <c r="E123" s="164">
        <f t="shared" si="29"/>
        <v>4000</v>
      </c>
      <c r="F123" s="164">
        <f t="shared" si="29"/>
        <v>4000</v>
      </c>
    </row>
    <row r="124" spans="2:6" ht="15.75" thickBot="1" x14ac:dyDescent="0.3">
      <c r="B124" s="181" t="s">
        <v>95</v>
      </c>
      <c r="C124" s="165"/>
      <c r="D124" s="182">
        <f>D123/C123-1</f>
        <v>0</v>
      </c>
      <c r="E124" s="182">
        <f t="shared" ref="E124:F124" si="30">E123/D123-1</f>
        <v>0</v>
      </c>
      <c r="F124" s="182">
        <f t="shared" si="30"/>
        <v>0</v>
      </c>
    </row>
    <row r="125" spans="2:6" ht="15.75" thickBot="1" x14ac:dyDescent="0.3">
      <c r="B125" s="166" t="s">
        <v>41</v>
      </c>
      <c r="C125" s="167">
        <f>IF(C105-C104=0,0,"Error")</f>
        <v>0</v>
      </c>
      <c r="D125" s="167">
        <f t="shared" ref="D125:F125" si="31">IF(D105-D104=0,0,"Error")</f>
        <v>0</v>
      </c>
      <c r="E125" s="167">
        <f t="shared" si="31"/>
        <v>0</v>
      </c>
      <c r="F125" s="167">
        <f t="shared" si="31"/>
        <v>0</v>
      </c>
    </row>
    <row r="126" spans="2:6" ht="30.75" thickBot="1" x14ac:dyDescent="0.3">
      <c r="B126" s="183" t="s">
        <v>96</v>
      </c>
      <c r="C126" s="164">
        <v>56</v>
      </c>
      <c r="D126" s="164">
        <v>56</v>
      </c>
      <c r="E126" s="164">
        <v>56</v>
      </c>
      <c r="F126" s="164">
        <v>56</v>
      </c>
    </row>
    <row r="127" spans="2:6" ht="30.75" thickBot="1" x14ac:dyDescent="0.3">
      <c r="B127" s="183" t="s">
        <v>97</v>
      </c>
      <c r="C127" s="164">
        <v>7</v>
      </c>
      <c r="D127" s="164"/>
      <c r="E127" s="164" t="s">
        <v>23</v>
      </c>
      <c r="F127" s="164" t="s">
        <v>23</v>
      </c>
    </row>
  </sheetData>
  <mergeCells count="43">
    <mergeCell ref="B97:F97"/>
    <mergeCell ref="B98:B99"/>
    <mergeCell ref="B84:F84"/>
    <mergeCell ref="C85:F85"/>
    <mergeCell ref="C86:F86"/>
    <mergeCell ref="C87:F87"/>
    <mergeCell ref="C88:F88"/>
    <mergeCell ref="B89:B90"/>
    <mergeCell ref="B83:F83"/>
    <mergeCell ref="C50:F50"/>
    <mergeCell ref="B51:B52"/>
    <mergeCell ref="B59:F59"/>
    <mergeCell ref="B60:B61"/>
    <mergeCell ref="C65:F65"/>
    <mergeCell ref="C66:F66"/>
    <mergeCell ref="C67:F67"/>
    <mergeCell ref="C68:F68"/>
    <mergeCell ref="B69:B70"/>
    <mergeCell ref="B77:F77"/>
    <mergeCell ref="B78:B79"/>
    <mergeCell ref="C49:F49"/>
    <mergeCell ref="B21:F21"/>
    <mergeCell ref="C22:F22"/>
    <mergeCell ref="C23:F23"/>
    <mergeCell ref="C24:F24"/>
    <mergeCell ref="B25:B26"/>
    <mergeCell ref="B33:F33"/>
    <mergeCell ref="B34:B35"/>
    <mergeCell ref="B45:F45"/>
    <mergeCell ref="B46:F46"/>
    <mergeCell ref="C47:F47"/>
    <mergeCell ref="C48:F48"/>
    <mergeCell ref="B20:F20"/>
    <mergeCell ref="B4:F4"/>
    <mergeCell ref="C6:F6"/>
    <mergeCell ref="C7:F7"/>
    <mergeCell ref="C8:F8"/>
    <mergeCell ref="B9:F9"/>
    <mergeCell ref="B10:F12"/>
    <mergeCell ref="C13:F13"/>
    <mergeCell ref="B14:B15"/>
    <mergeCell ref="C17:F17"/>
    <mergeCell ref="B18:F18"/>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82"/>
  <sheetViews>
    <sheetView topLeftCell="A157" workbookViewId="0">
      <selection activeCell="F163" sqref="F163"/>
    </sheetView>
  </sheetViews>
  <sheetFormatPr defaultRowHeight="15" x14ac:dyDescent="0.25"/>
  <cols>
    <col min="1" max="1" width="9.140625" style="152"/>
    <col min="2" max="2" width="52.28515625" style="152" customWidth="1"/>
    <col min="3" max="3" width="25.42578125" style="152" customWidth="1"/>
    <col min="4" max="4" width="21.5703125" style="152" customWidth="1"/>
    <col min="5" max="5" width="20.85546875" style="152" customWidth="1"/>
    <col min="6" max="6" width="27.5703125" style="152" customWidth="1"/>
    <col min="7" max="16384" width="9.140625" style="152"/>
  </cols>
  <sheetData>
    <row r="2" spans="2:6" x14ac:dyDescent="0.25">
      <c r="B2" s="762" t="s">
        <v>0</v>
      </c>
      <c r="C2" s="762"/>
      <c r="D2" s="762"/>
      <c r="E2" s="762"/>
      <c r="F2" s="762"/>
    </row>
    <row r="3" spans="2:6" ht="15.75" thickBot="1" x14ac:dyDescent="0.3"/>
    <row r="4" spans="2:6" ht="15.75" thickBot="1" x14ac:dyDescent="0.3">
      <c r="B4" s="153" t="s">
        <v>2</v>
      </c>
      <c r="C4" s="979">
        <f>'[4]Formati 1 Misioni'!B10</f>
        <v>0</v>
      </c>
      <c r="D4" s="979"/>
      <c r="E4" s="979"/>
      <c r="F4" s="979"/>
    </row>
    <row r="5" spans="2:6" ht="15.75" thickBot="1" x14ac:dyDescent="0.3">
      <c r="B5" s="153" t="s">
        <v>3</v>
      </c>
      <c r="C5" s="980" t="s">
        <v>4</v>
      </c>
      <c r="D5" s="981"/>
      <c r="E5" s="981"/>
      <c r="F5" s="982"/>
    </row>
    <row r="6" spans="2:6" ht="15.75" thickBot="1" x14ac:dyDescent="0.3">
      <c r="B6" s="153" t="s">
        <v>5</v>
      </c>
      <c r="C6" s="983" t="s">
        <v>6</v>
      </c>
      <c r="D6" s="984"/>
      <c r="E6" s="984"/>
      <c r="F6" s="985"/>
    </row>
    <row r="7" spans="2:6" ht="15.75" thickBot="1" x14ac:dyDescent="0.3">
      <c r="B7" s="986" t="s">
        <v>7</v>
      </c>
      <c r="C7" s="987"/>
      <c r="D7" s="987"/>
      <c r="E7" s="987"/>
      <c r="F7" s="988"/>
    </row>
    <row r="8" spans="2:6" x14ac:dyDescent="0.25">
      <c r="B8" s="1393" t="s">
        <v>1143</v>
      </c>
      <c r="C8" s="1394"/>
      <c r="D8" s="1394"/>
      <c r="E8" s="1394"/>
      <c r="F8" s="1395"/>
    </row>
    <row r="9" spans="2:6" x14ac:dyDescent="0.25">
      <c r="B9" s="1396"/>
      <c r="C9" s="1397"/>
      <c r="D9" s="1397"/>
      <c r="E9" s="1397"/>
      <c r="F9" s="1398"/>
    </row>
    <row r="10" spans="2:6" ht="39.75" customHeight="1" thickBot="1" x14ac:dyDescent="0.3">
      <c r="B10" s="1399"/>
      <c r="C10" s="1400"/>
      <c r="D10" s="1400"/>
      <c r="E10" s="1400"/>
      <c r="F10" s="1401"/>
    </row>
    <row r="11" spans="2:6" ht="15.75" thickBot="1" x14ac:dyDescent="0.3">
      <c r="B11" s="154" t="s">
        <v>8</v>
      </c>
      <c r="C11" s="1402" t="s">
        <v>1144</v>
      </c>
      <c r="D11" s="1403"/>
      <c r="E11" s="1403"/>
      <c r="F11" s="1404"/>
    </row>
    <row r="12" spans="2:6" x14ac:dyDescent="0.25">
      <c r="B12" s="998" t="s">
        <v>9</v>
      </c>
      <c r="C12" s="640">
        <v>2018</v>
      </c>
      <c r="D12" s="640">
        <v>2019</v>
      </c>
      <c r="E12" s="640">
        <v>2020</v>
      </c>
      <c r="F12" s="640">
        <v>2021</v>
      </c>
    </row>
    <row r="13" spans="2:6" ht="15.75" thickBot="1" x14ac:dyDescent="0.3">
      <c r="B13" s="999"/>
      <c r="C13" s="641" t="s">
        <v>10</v>
      </c>
      <c r="D13" s="641" t="s">
        <v>11</v>
      </c>
      <c r="E13" s="641" t="s">
        <v>11</v>
      </c>
      <c r="F13" s="641" t="s">
        <v>11</v>
      </c>
    </row>
    <row r="14" spans="2:6" ht="15.75" thickBot="1" x14ac:dyDescent="0.3">
      <c r="B14" s="644" t="s">
        <v>1145</v>
      </c>
      <c r="C14" s="239">
        <v>0.3</v>
      </c>
      <c r="D14" s="157" t="s">
        <v>1146</v>
      </c>
      <c r="E14" s="157" t="s">
        <v>1146</v>
      </c>
      <c r="F14" s="157" t="s">
        <v>1146</v>
      </c>
    </row>
    <row r="15" spans="2:6" ht="15.75" thickBot="1" x14ac:dyDescent="0.3">
      <c r="B15" s="158" t="s">
        <v>12</v>
      </c>
      <c r="C15" s="1007" t="s">
        <v>1147</v>
      </c>
      <c r="D15" s="1006"/>
      <c r="E15" s="1006"/>
      <c r="F15" s="1008"/>
    </row>
    <row r="16" spans="2:6" ht="15.75" thickBot="1" x14ac:dyDescent="0.3">
      <c r="B16" s="1086" t="s">
        <v>13</v>
      </c>
      <c r="C16" s="1087"/>
      <c r="D16" s="1087"/>
      <c r="E16" s="1087"/>
      <c r="F16" s="1088"/>
    </row>
    <row r="17" spans="2:6" ht="15.75" thickBot="1" x14ac:dyDescent="0.3">
      <c r="B17" s="644" t="s">
        <v>1148</v>
      </c>
      <c r="C17" s="239">
        <v>0.3</v>
      </c>
      <c r="D17" s="157" t="s">
        <v>1146</v>
      </c>
      <c r="E17" s="157" t="s">
        <v>1146</v>
      </c>
      <c r="F17" s="157" t="s">
        <v>1146</v>
      </c>
    </row>
    <row r="18" spans="2:6" ht="15.75" thickBot="1" x14ac:dyDescent="0.3">
      <c r="B18" s="385" t="s">
        <v>1149</v>
      </c>
      <c r="C18" s="239">
        <v>0.77</v>
      </c>
      <c r="D18" s="157" t="s">
        <v>549</v>
      </c>
      <c r="E18" s="157" t="s">
        <v>549</v>
      </c>
      <c r="F18" s="157" t="s">
        <v>549</v>
      </c>
    </row>
    <row r="19" spans="2:6" ht="15.75" thickBot="1" x14ac:dyDescent="0.3">
      <c r="B19" s="989" t="s">
        <v>14</v>
      </c>
      <c r="C19" s="990"/>
      <c r="D19" s="990"/>
      <c r="E19" s="990"/>
      <c r="F19" s="991"/>
    </row>
    <row r="20" spans="2:6" ht="15.75" thickBot="1" x14ac:dyDescent="0.3">
      <c r="B20" s="989" t="s">
        <v>15</v>
      </c>
      <c r="C20" s="990"/>
      <c r="D20" s="990"/>
      <c r="E20" s="990"/>
      <c r="F20" s="991"/>
    </row>
    <row r="21" spans="2:6" ht="15.75" thickBot="1" x14ac:dyDescent="0.3">
      <c r="B21" s="160" t="s">
        <v>16</v>
      </c>
      <c r="C21" s="992" t="s">
        <v>1150</v>
      </c>
      <c r="D21" s="993"/>
      <c r="E21" s="993"/>
      <c r="F21" s="994"/>
    </row>
    <row r="22" spans="2:6" ht="15.75" thickBot="1" x14ac:dyDescent="0.3">
      <c r="B22" s="62" t="s">
        <v>17</v>
      </c>
      <c r="C22" s="983" t="s">
        <v>1151</v>
      </c>
      <c r="D22" s="984"/>
      <c r="E22" s="984"/>
      <c r="F22" s="985"/>
    </row>
    <row r="23" spans="2:6" ht="15.75" thickBot="1" x14ac:dyDescent="0.3">
      <c r="B23" s="62" t="s">
        <v>18</v>
      </c>
      <c r="C23" s="995" t="s">
        <v>111</v>
      </c>
      <c r="D23" s="996"/>
      <c r="E23" s="996"/>
      <c r="F23" s="997"/>
    </row>
    <row r="24" spans="2:6" x14ac:dyDescent="0.25">
      <c r="B24" s="998"/>
      <c r="C24" s="63">
        <v>2018</v>
      </c>
      <c r="D24" s="63">
        <v>2019</v>
      </c>
      <c r="E24" s="63">
        <v>2020</v>
      </c>
      <c r="F24" s="63">
        <v>2021</v>
      </c>
    </row>
    <row r="25" spans="2:6" ht="15.75" thickBot="1" x14ac:dyDescent="0.3">
      <c r="B25" s="999"/>
      <c r="C25" s="64" t="s">
        <v>10</v>
      </c>
      <c r="D25" s="64" t="s">
        <v>11</v>
      </c>
      <c r="E25" s="64" t="s">
        <v>11</v>
      </c>
      <c r="F25" s="64" t="s">
        <v>11</v>
      </c>
    </row>
    <row r="26" spans="2:6" ht="15.75" thickBot="1" x14ac:dyDescent="0.3">
      <c r="B26" s="62" t="s">
        <v>19</v>
      </c>
      <c r="C26" s="161">
        <v>84</v>
      </c>
      <c r="D26" s="161">
        <v>87</v>
      </c>
      <c r="E26" s="161">
        <v>91</v>
      </c>
      <c r="F26" s="161">
        <v>93</v>
      </c>
    </row>
    <row r="27" spans="2:6" ht="15.75" thickBot="1" x14ac:dyDescent="0.3">
      <c r="B27" s="62" t="s">
        <v>20</v>
      </c>
      <c r="C27" s="161">
        <f>53620*70%</f>
        <v>37534</v>
      </c>
      <c r="D27" s="161">
        <f>D50</f>
        <v>37986.199999999997</v>
      </c>
      <c r="E27" s="161">
        <f>E50</f>
        <v>38338.300000000003</v>
      </c>
      <c r="F27" s="161">
        <f>55000*70%</f>
        <v>38500</v>
      </c>
    </row>
    <row r="28" spans="2:6" ht="15.75" thickBot="1" x14ac:dyDescent="0.3">
      <c r="B28" s="62" t="s">
        <v>21</v>
      </c>
      <c r="C28" s="161">
        <f>C27/C26</f>
        <v>446.83333333333331</v>
      </c>
      <c r="D28" s="161">
        <f t="shared" ref="D28:F28" si="0">D27/D26</f>
        <v>436.62298850574712</v>
      </c>
      <c r="E28" s="161">
        <f t="shared" si="0"/>
        <v>421.3</v>
      </c>
      <c r="F28" s="161">
        <f t="shared" si="0"/>
        <v>413.97849462365593</v>
      </c>
    </row>
    <row r="29" spans="2:6" ht="15.75" thickBot="1" x14ac:dyDescent="0.3">
      <c r="B29" s="62" t="s">
        <v>22</v>
      </c>
      <c r="C29" s="636" t="s">
        <v>23</v>
      </c>
      <c r="D29" s="162">
        <f>D26/C26-1</f>
        <v>3.5714285714285809E-2</v>
      </c>
      <c r="E29" s="162">
        <f t="shared" ref="E29:F31" si="1">E26/D26-1</f>
        <v>4.5977011494252817E-2</v>
      </c>
      <c r="F29" s="162">
        <f t="shared" si="1"/>
        <v>2.19780219780219E-2</v>
      </c>
    </row>
    <row r="30" spans="2:6" ht="15.75" thickBot="1" x14ac:dyDescent="0.3">
      <c r="B30" s="62" t="s">
        <v>24</v>
      </c>
      <c r="C30" s="636" t="s">
        <v>23</v>
      </c>
      <c r="D30" s="162">
        <f>D27/C27-1</f>
        <v>1.2047743379336007E-2</v>
      </c>
      <c r="E30" s="162">
        <f t="shared" si="1"/>
        <v>9.2691556407329401E-3</v>
      </c>
      <c r="F30" s="162">
        <f t="shared" si="1"/>
        <v>4.21771440048202E-3</v>
      </c>
    </row>
    <row r="31" spans="2:6" ht="15.75" thickBot="1" x14ac:dyDescent="0.3">
      <c r="B31" s="62" t="s">
        <v>25</v>
      </c>
      <c r="C31" s="636" t="s">
        <v>23</v>
      </c>
      <c r="D31" s="162">
        <f>D28/C28-1</f>
        <v>-2.2850454668227216E-2</v>
      </c>
      <c r="E31" s="162">
        <f t="shared" si="1"/>
        <v>-3.5094323728090626E-2</v>
      </c>
      <c r="F31" s="162">
        <f t="shared" si="1"/>
        <v>-1.7378365479098212E-2</v>
      </c>
    </row>
    <row r="32" spans="2:6" ht="15.75" thickBot="1" x14ac:dyDescent="0.3">
      <c r="B32" s="1000" t="s">
        <v>784</v>
      </c>
      <c r="C32" s="1001"/>
      <c r="D32" s="1001"/>
      <c r="E32" s="1001"/>
      <c r="F32" s="1002"/>
    </row>
    <row r="33" spans="2:6" x14ac:dyDescent="0.25">
      <c r="B33" s="998"/>
      <c r="C33" s="63">
        <v>2018</v>
      </c>
      <c r="D33" s="63">
        <v>2019</v>
      </c>
      <c r="E33" s="63">
        <v>2020</v>
      </c>
      <c r="F33" s="63">
        <v>2021</v>
      </c>
    </row>
    <row r="34" spans="2:6" ht="15.75" thickBot="1" x14ac:dyDescent="0.3">
      <c r="B34" s="999"/>
      <c r="C34" s="64" t="s">
        <v>10</v>
      </c>
      <c r="D34" s="64" t="s">
        <v>11</v>
      </c>
      <c r="E34" s="64" t="s">
        <v>11</v>
      </c>
      <c r="F34" s="64" t="s">
        <v>11</v>
      </c>
    </row>
    <row r="35" spans="2:6" ht="15.75" thickBot="1" x14ac:dyDescent="0.3">
      <c r="B35" s="65" t="s">
        <v>26</v>
      </c>
      <c r="C35" s="164">
        <f>34500*70%</f>
        <v>24150</v>
      </c>
      <c r="D35" s="164">
        <f>34500*70%</f>
        <v>24150</v>
      </c>
      <c r="E35" s="164">
        <f>34500*70%</f>
        <v>24150</v>
      </c>
      <c r="F35" s="164">
        <f>34500*70%</f>
        <v>24150</v>
      </c>
    </row>
    <row r="36" spans="2:6" ht="30.75" thickBot="1" x14ac:dyDescent="0.3">
      <c r="B36" s="181" t="s">
        <v>27</v>
      </c>
      <c r="C36" s="165"/>
      <c r="D36" s="666">
        <f>C35*1.03</f>
        <v>24874.5</v>
      </c>
      <c r="E36" s="666">
        <f>D35*1.03</f>
        <v>24874.5</v>
      </c>
      <c r="F36" s="666">
        <f>E35*1.03</f>
        <v>24874.5</v>
      </c>
    </row>
    <row r="37" spans="2:6" ht="30.75" thickBot="1" x14ac:dyDescent="0.3">
      <c r="B37" s="181" t="s">
        <v>817</v>
      </c>
      <c r="C37" s="165"/>
      <c r="D37" s="666">
        <f>C35*1.035</f>
        <v>24995.249999999996</v>
      </c>
      <c r="E37" s="666">
        <f t="shared" ref="E37:F37" si="2">D35*1.035</f>
        <v>24995.249999999996</v>
      </c>
      <c r="F37" s="666">
        <f t="shared" si="2"/>
        <v>24995.249999999996</v>
      </c>
    </row>
    <row r="38" spans="2:6" ht="15.75" thickBot="1" x14ac:dyDescent="0.3">
      <c r="B38" s="65" t="s">
        <v>28</v>
      </c>
      <c r="C38" s="164">
        <f>5850*70%</f>
        <v>4094.9999999999995</v>
      </c>
      <c r="D38" s="164">
        <f t="shared" ref="D38:F38" si="3">5850*70%</f>
        <v>4094.9999999999995</v>
      </c>
      <c r="E38" s="164">
        <f t="shared" si="3"/>
        <v>4094.9999999999995</v>
      </c>
      <c r="F38" s="164">
        <f t="shared" si="3"/>
        <v>4094.9999999999995</v>
      </c>
    </row>
    <row r="39" spans="2:6" ht="30.75" thickBot="1" x14ac:dyDescent="0.3">
      <c r="B39" s="181" t="s">
        <v>29</v>
      </c>
      <c r="C39" s="165"/>
      <c r="D39" s="606">
        <f>C38*1.03</f>
        <v>4217.8499999999995</v>
      </c>
      <c r="E39" s="606">
        <f t="shared" ref="E39:F39" si="4">D38*1.03</f>
        <v>4217.8499999999995</v>
      </c>
      <c r="F39" s="606">
        <f t="shared" si="4"/>
        <v>4217.8499999999995</v>
      </c>
    </row>
    <row r="40" spans="2:6" ht="30.75" thickBot="1" x14ac:dyDescent="0.3">
      <c r="B40" s="181" t="s">
        <v>818</v>
      </c>
      <c r="C40" s="165"/>
      <c r="D40" s="606">
        <f>C38*1.035</f>
        <v>4238.3249999999989</v>
      </c>
      <c r="E40" s="606">
        <f t="shared" ref="E40:F40" si="5">D38*1.035</f>
        <v>4238.3249999999989</v>
      </c>
      <c r="F40" s="606">
        <f t="shared" si="5"/>
        <v>4238.3249999999989</v>
      </c>
    </row>
    <row r="41" spans="2:6" ht="15.75" thickBot="1" x14ac:dyDescent="0.3">
      <c r="B41" s="65" t="s">
        <v>30</v>
      </c>
      <c r="C41" s="165">
        <f>12830*70%</f>
        <v>8981</v>
      </c>
      <c r="D41" s="606">
        <f>13476*70%</f>
        <v>9433.1999999999989</v>
      </c>
      <c r="E41" s="606">
        <f>13979*70%</f>
        <v>9785.2999999999993</v>
      </c>
      <c r="F41" s="606">
        <f>14210*70%</f>
        <v>9947</v>
      </c>
    </row>
    <row r="42" spans="2:6" ht="30.75" thickBot="1" x14ac:dyDescent="0.3">
      <c r="B42" s="181" t="s">
        <v>31</v>
      </c>
      <c r="C42" s="165"/>
      <c r="D42" s="606">
        <f>C41*1.03</f>
        <v>9250.43</v>
      </c>
      <c r="E42" s="606">
        <f>D41*1.03</f>
        <v>9716.1959999999999</v>
      </c>
      <c r="F42" s="606">
        <f>E41*1.03</f>
        <v>10078.859</v>
      </c>
    </row>
    <row r="43" spans="2:6" ht="30.75" thickBot="1" x14ac:dyDescent="0.3">
      <c r="B43" s="181" t="s">
        <v>819</v>
      </c>
      <c r="C43" s="165"/>
      <c r="D43" s="606">
        <f>D42*1.035</f>
        <v>9574.1950500000003</v>
      </c>
      <c r="E43" s="606">
        <f>E42*1.035</f>
        <v>10056.262859999999</v>
      </c>
      <c r="F43" s="606">
        <f>F42*1.035</f>
        <v>10431.619064999999</v>
      </c>
    </row>
    <row r="44" spans="2:6" ht="15.75" thickBot="1" x14ac:dyDescent="0.3">
      <c r="B44" s="65" t="s">
        <v>36</v>
      </c>
      <c r="C44" s="165">
        <f>200*70%</f>
        <v>140</v>
      </c>
      <c r="D44" s="165">
        <f t="shared" ref="D44:F44" si="6">200*70%</f>
        <v>140</v>
      </c>
      <c r="E44" s="165">
        <v>140</v>
      </c>
      <c r="F44" s="165">
        <f t="shared" si="6"/>
        <v>140</v>
      </c>
    </row>
    <row r="45" spans="2:6" ht="30.75" thickBot="1" x14ac:dyDescent="0.3">
      <c r="B45" s="181" t="s">
        <v>37</v>
      </c>
      <c r="C45" s="165"/>
      <c r="D45" s="606">
        <f>C44*1.03</f>
        <v>144.20000000000002</v>
      </c>
      <c r="E45" s="606">
        <f t="shared" ref="E45:F45" si="7">D44*1.03</f>
        <v>144.20000000000002</v>
      </c>
      <c r="F45" s="606">
        <f t="shared" si="7"/>
        <v>144.20000000000002</v>
      </c>
    </row>
    <row r="46" spans="2:6" ht="30.75" thickBot="1" x14ac:dyDescent="0.3">
      <c r="B46" s="181" t="s">
        <v>822</v>
      </c>
      <c r="C46" s="165"/>
      <c r="D46" s="606">
        <f>C44*1.035</f>
        <v>144.89999999999998</v>
      </c>
      <c r="E46" s="606">
        <f t="shared" ref="E46:F46" si="8">D44*1.035</f>
        <v>144.89999999999998</v>
      </c>
      <c r="F46" s="606">
        <f t="shared" si="8"/>
        <v>144.89999999999998</v>
      </c>
    </row>
    <row r="47" spans="2:6" ht="15.75" thickBot="1" x14ac:dyDescent="0.3">
      <c r="B47" s="65" t="s">
        <v>38</v>
      </c>
      <c r="C47" s="165">
        <f>240*70%</f>
        <v>168</v>
      </c>
      <c r="D47" s="165">
        <f t="shared" ref="D47:F47" si="9">240*70%</f>
        <v>168</v>
      </c>
      <c r="E47" s="165">
        <v>168</v>
      </c>
      <c r="F47" s="165">
        <f t="shared" si="9"/>
        <v>168</v>
      </c>
    </row>
    <row r="48" spans="2:6" ht="30.75" thickBot="1" x14ac:dyDescent="0.3">
      <c r="B48" s="181" t="s">
        <v>39</v>
      </c>
      <c r="C48" s="165"/>
      <c r="D48" s="334">
        <f>C47*1.03</f>
        <v>173.04</v>
      </c>
      <c r="E48" s="334">
        <f>D47*1.03</f>
        <v>173.04</v>
      </c>
      <c r="F48" s="334">
        <f>E47*1.03</f>
        <v>173.04</v>
      </c>
    </row>
    <row r="49" spans="2:6" ht="30.75" thickBot="1" x14ac:dyDescent="0.3">
      <c r="B49" s="181" t="s">
        <v>823</v>
      </c>
      <c r="C49" s="165"/>
      <c r="D49" s="606">
        <f>C47*1.035</f>
        <v>173.88</v>
      </c>
      <c r="E49" s="606">
        <f t="shared" ref="E49:F49" si="10">D47*1.035</f>
        <v>173.88</v>
      </c>
      <c r="F49" s="606">
        <f t="shared" si="10"/>
        <v>173.88</v>
      </c>
    </row>
    <row r="50" spans="2:6" ht="15.75" thickBot="1" x14ac:dyDescent="0.3">
      <c r="B50" s="66" t="s">
        <v>40</v>
      </c>
      <c r="C50" s="165">
        <f>C47+C44+C41+C38+C35</f>
        <v>37534</v>
      </c>
      <c r="D50" s="165">
        <f>D47+D44+D41+D38+D35</f>
        <v>37986.199999999997</v>
      </c>
      <c r="E50" s="165">
        <f>E47+E44+E41+E38+E35</f>
        <v>38338.300000000003</v>
      </c>
      <c r="F50" s="165">
        <f>F47+F44+F41+F38+F35</f>
        <v>38500</v>
      </c>
    </row>
    <row r="51" spans="2:6" x14ac:dyDescent="0.25">
      <c r="B51" s="1015" t="s">
        <v>785</v>
      </c>
      <c r="C51" s="1077" t="s">
        <v>1152</v>
      </c>
      <c r="D51" s="1078"/>
      <c r="E51" s="1078"/>
      <c r="F51" s="1079"/>
    </row>
    <row r="52" spans="2:6" x14ac:dyDescent="0.25">
      <c r="B52" s="1016"/>
      <c r="C52" s="1080"/>
      <c r="D52" s="1081"/>
      <c r="E52" s="1081"/>
      <c r="F52" s="1082"/>
    </row>
    <row r="53" spans="2:6" ht="15.75" thickBot="1" x14ac:dyDescent="0.3">
      <c r="B53" s="1017"/>
      <c r="C53" s="1083"/>
      <c r="D53" s="1084"/>
      <c r="E53" s="1084"/>
      <c r="F53" s="1085"/>
    </row>
    <row r="54" spans="2:6" ht="15.75" thickBot="1" x14ac:dyDescent="0.3">
      <c r="B54" s="166" t="s">
        <v>41</v>
      </c>
      <c r="C54" s="167">
        <f>IF(C50-C27=0,0,"Error")</f>
        <v>0</v>
      </c>
      <c r="D54" s="167">
        <f>IF(D50-D27=0,0,"Error")</f>
        <v>0</v>
      </c>
      <c r="E54" s="167">
        <f>IF(E50-E27=0,0,"Error")</f>
        <v>0</v>
      </c>
      <c r="F54" s="167">
        <f>IF(F50-F27=0,0,"Error")</f>
        <v>0</v>
      </c>
    </row>
    <row r="55" spans="2:6" ht="15.75" thickBot="1" x14ac:dyDescent="0.3">
      <c r="B55" s="195" t="s">
        <v>824</v>
      </c>
      <c r="C55" s="992" t="s">
        <v>559</v>
      </c>
      <c r="D55" s="993"/>
      <c r="E55" s="993"/>
      <c r="F55" s="994"/>
    </row>
    <row r="56" spans="2:6" ht="15.75" thickBot="1" x14ac:dyDescent="0.3">
      <c r="B56" s="62" t="s">
        <v>17</v>
      </c>
      <c r="C56" s="983" t="s">
        <v>1153</v>
      </c>
      <c r="D56" s="984"/>
      <c r="E56" s="984"/>
      <c r="F56" s="985"/>
    </row>
    <row r="57" spans="2:6" ht="15.75" thickBot="1" x14ac:dyDescent="0.3">
      <c r="B57" s="62" t="s">
        <v>18</v>
      </c>
      <c r="C57" s="995" t="s">
        <v>561</v>
      </c>
      <c r="D57" s="996"/>
      <c r="E57" s="996"/>
      <c r="F57" s="997"/>
    </row>
    <row r="58" spans="2:6" x14ac:dyDescent="0.25">
      <c r="B58" s="998"/>
      <c r="C58" s="63">
        <v>2018</v>
      </c>
      <c r="D58" s="63">
        <v>2019</v>
      </c>
      <c r="E58" s="63">
        <v>2020</v>
      </c>
      <c r="F58" s="63">
        <v>2021</v>
      </c>
    </row>
    <row r="59" spans="2:6" ht="15.75" thickBot="1" x14ac:dyDescent="0.3">
      <c r="B59" s="999"/>
      <c r="C59" s="64" t="s">
        <v>10</v>
      </c>
      <c r="D59" s="64" t="s">
        <v>11</v>
      </c>
      <c r="E59" s="64" t="s">
        <v>11</v>
      </c>
      <c r="F59" s="64" t="s">
        <v>11</v>
      </c>
    </row>
    <row r="60" spans="2:6" ht="15.75" thickBot="1" x14ac:dyDescent="0.3">
      <c r="B60" s="62" t="s">
        <v>19</v>
      </c>
      <c r="C60" s="161">
        <v>100</v>
      </c>
      <c r="D60" s="161">
        <v>100</v>
      </c>
      <c r="E60" s="161">
        <v>100</v>
      </c>
      <c r="F60" s="161">
        <v>100</v>
      </c>
    </row>
    <row r="61" spans="2:6" ht="15.75" thickBot="1" x14ac:dyDescent="0.3">
      <c r="B61" s="62" t="s">
        <v>20</v>
      </c>
      <c r="C61" s="161">
        <f>53620*30%</f>
        <v>16086</v>
      </c>
      <c r="D61" s="161">
        <f>54266*30%</f>
        <v>16279.8</v>
      </c>
      <c r="E61" s="161">
        <v>16431</v>
      </c>
      <c r="F61" s="161">
        <f>55000*30%</f>
        <v>16500</v>
      </c>
    </row>
    <row r="62" spans="2:6" ht="15.75" thickBot="1" x14ac:dyDescent="0.3">
      <c r="B62" s="62" t="s">
        <v>21</v>
      </c>
      <c r="C62" s="161">
        <f>C61/C60</f>
        <v>160.86000000000001</v>
      </c>
      <c r="D62" s="161">
        <f>D61/D60</f>
        <v>162.798</v>
      </c>
      <c r="E62" s="161">
        <f>E61/E60</f>
        <v>164.31</v>
      </c>
      <c r="F62" s="161">
        <f>F61/F60</f>
        <v>165</v>
      </c>
    </row>
    <row r="63" spans="2:6" ht="15.75" thickBot="1" x14ac:dyDescent="0.3">
      <c r="B63" s="62" t="s">
        <v>22</v>
      </c>
      <c r="C63" s="636"/>
      <c r="D63" s="162">
        <f>D60/C60-1</f>
        <v>0</v>
      </c>
      <c r="E63" s="162">
        <f>E60/D60-1</f>
        <v>0</v>
      </c>
      <c r="F63" s="162">
        <f>F60/E60-1</f>
        <v>0</v>
      </c>
    </row>
    <row r="64" spans="2:6" ht="15.75" thickBot="1" x14ac:dyDescent="0.3">
      <c r="B64" s="62" t="s">
        <v>24</v>
      </c>
      <c r="C64" s="636"/>
      <c r="D64" s="162">
        <f>D61/C61-1</f>
        <v>1.2047743379336007E-2</v>
      </c>
      <c r="E64" s="162">
        <f t="shared" ref="E64:F65" si="11">E61/D61-1</f>
        <v>9.2875833855452505E-3</v>
      </c>
      <c r="F64" s="162">
        <f t="shared" si="11"/>
        <v>4.1993792222019266E-3</v>
      </c>
    </row>
    <row r="65" spans="2:6" ht="15.75" thickBot="1" x14ac:dyDescent="0.3">
      <c r="B65" s="62" t="s">
        <v>25</v>
      </c>
      <c r="C65" s="636"/>
      <c r="D65" s="162">
        <f>D62/C62-1</f>
        <v>1.2047743379336007E-2</v>
      </c>
      <c r="E65" s="162">
        <f t="shared" si="11"/>
        <v>9.2875833855452505E-3</v>
      </c>
      <c r="F65" s="162">
        <f t="shared" si="11"/>
        <v>4.1993792222019266E-3</v>
      </c>
    </row>
    <row r="66" spans="2:6" ht="15.75" thickBot="1" x14ac:dyDescent="0.3">
      <c r="B66" s="1000" t="s">
        <v>796</v>
      </c>
      <c r="C66" s="1001"/>
      <c r="D66" s="1001"/>
      <c r="E66" s="1001"/>
      <c r="F66" s="1002"/>
    </row>
    <row r="67" spans="2:6" x14ac:dyDescent="0.25">
      <c r="B67" s="998"/>
      <c r="C67" s="63">
        <v>2018</v>
      </c>
      <c r="D67" s="63">
        <v>2019</v>
      </c>
      <c r="E67" s="63">
        <v>2020</v>
      </c>
      <c r="F67" s="63">
        <v>2021</v>
      </c>
    </row>
    <row r="68" spans="2:6" ht="15.75" thickBot="1" x14ac:dyDescent="0.3">
      <c r="B68" s="999"/>
      <c r="C68" s="64" t="s">
        <v>10</v>
      </c>
      <c r="D68" s="64" t="s">
        <v>11</v>
      </c>
      <c r="E68" s="64" t="s">
        <v>11</v>
      </c>
      <c r="F68" s="64" t="s">
        <v>11</v>
      </c>
    </row>
    <row r="69" spans="2:6" ht="15.75" thickBot="1" x14ac:dyDescent="0.3">
      <c r="B69" s="65" t="s">
        <v>26</v>
      </c>
      <c r="C69" s="164">
        <f>34500*30%</f>
        <v>10350</v>
      </c>
      <c r="D69" s="164">
        <f t="shared" ref="D69:F69" si="12">34500*30%</f>
        <v>10350</v>
      </c>
      <c r="E69" s="164">
        <f t="shared" si="12"/>
        <v>10350</v>
      </c>
      <c r="F69" s="164">
        <f t="shared" si="12"/>
        <v>10350</v>
      </c>
    </row>
    <row r="70" spans="2:6" ht="30.75" thickBot="1" x14ac:dyDescent="0.3">
      <c r="B70" s="181" t="s">
        <v>27</v>
      </c>
      <c r="C70" s="165"/>
      <c r="D70" s="606">
        <f>C69*1.03</f>
        <v>10660.5</v>
      </c>
      <c r="E70" s="606">
        <f t="shared" ref="E70:F70" si="13">D69*1.03</f>
        <v>10660.5</v>
      </c>
      <c r="F70" s="606">
        <f t="shared" si="13"/>
        <v>10660.5</v>
      </c>
    </row>
    <row r="71" spans="2:6" ht="15.75" thickBot="1" x14ac:dyDescent="0.3">
      <c r="B71" s="181" t="s">
        <v>45</v>
      </c>
      <c r="C71" s="165"/>
      <c r="D71" s="606">
        <f>C69*1.035</f>
        <v>10712.25</v>
      </c>
      <c r="E71" s="606">
        <f t="shared" ref="E71:F71" si="14">D69*1.035</f>
        <v>10712.25</v>
      </c>
      <c r="F71" s="606">
        <f t="shared" si="14"/>
        <v>10712.25</v>
      </c>
    </row>
    <row r="72" spans="2:6" ht="15.75" thickBot="1" x14ac:dyDescent="0.3">
      <c r="B72" s="65" t="s">
        <v>28</v>
      </c>
      <c r="C72" s="164">
        <f>5850*30%</f>
        <v>1755</v>
      </c>
      <c r="D72" s="164">
        <f t="shared" ref="D72:F72" si="15">5850*30%</f>
        <v>1755</v>
      </c>
      <c r="E72" s="164">
        <f t="shared" si="15"/>
        <v>1755</v>
      </c>
      <c r="F72" s="164">
        <f t="shared" si="15"/>
        <v>1755</v>
      </c>
    </row>
    <row r="73" spans="2:6" ht="30.75" thickBot="1" x14ac:dyDescent="0.3">
      <c r="B73" s="181" t="s">
        <v>29</v>
      </c>
      <c r="C73" s="165"/>
      <c r="D73" s="606">
        <f>C72*1.03</f>
        <v>1807.65</v>
      </c>
      <c r="E73" s="606">
        <f t="shared" ref="E73:F73" si="16">D72*1.03</f>
        <v>1807.65</v>
      </c>
      <c r="F73" s="606">
        <f t="shared" si="16"/>
        <v>1807.65</v>
      </c>
    </row>
    <row r="74" spans="2:6" ht="30.75" thickBot="1" x14ac:dyDescent="0.3">
      <c r="B74" s="181" t="s">
        <v>46</v>
      </c>
      <c r="C74" s="165"/>
      <c r="D74" s="606">
        <f>C72*1.035</f>
        <v>1816.425</v>
      </c>
      <c r="E74" s="606">
        <f t="shared" ref="E74:F74" si="17">D72*1.035</f>
        <v>1816.425</v>
      </c>
      <c r="F74" s="606">
        <f t="shared" si="17"/>
        <v>1816.425</v>
      </c>
    </row>
    <row r="75" spans="2:6" ht="15.75" thickBot="1" x14ac:dyDescent="0.3">
      <c r="B75" s="65" t="s">
        <v>30</v>
      </c>
      <c r="C75" s="165">
        <f>12830*30%</f>
        <v>3849</v>
      </c>
      <c r="D75" s="165">
        <f>13476*30%</f>
        <v>4042.7999999999997</v>
      </c>
      <c r="E75" s="165">
        <f>13979*30%</f>
        <v>4193.7</v>
      </c>
      <c r="F75" s="165">
        <f>14210*30%</f>
        <v>4263</v>
      </c>
    </row>
    <row r="76" spans="2:6" ht="30.75" thickBot="1" x14ac:dyDescent="0.3">
      <c r="B76" s="181" t="s">
        <v>31</v>
      </c>
      <c r="C76" s="165"/>
      <c r="D76" s="334">
        <f>C75*1.03</f>
        <v>3964.4700000000003</v>
      </c>
      <c r="E76" s="334">
        <f t="shared" ref="E76:F76" si="18">D75*1.03</f>
        <v>4164.0839999999998</v>
      </c>
      <c r="F76" s="334">
        <f t="shared" si="18"/>
        <v>4319.5109999999995</v>
      </c>
    </row>
    <row r="77" spans="2:6" ht="30.75" thickBot="1" x14ac:dyDescent="0.3">
      <c r="B77" s="181" t="s">
        <v>47</v>
      </c>
      <c r="C77" s="165"/>
      <c r="D77" s="334">
        <f>C75*1.035</f>
        <v>3983.7149999999997</v>
      </c>
      <c r="E77" s="334">
        <f t="shared" ref="E77:F77" si="19">D75*1.035</f>
        <v>4184.2979999999998</v>
      </c>
      <c r="F77" s="334">
        <f t="shared" si="19"/>
        <v>4340.4794999999995</v>
      </c>
    </row>
    <row r="78" spans="2:6" ht="15.75" thickBot="1" x14ac:dyDescent="0.3">
      <c r="B78" s="65" t="s">
        <v>36</v>
      </c>
      <c r="C78" s="165">
        <f>200*30%</f>
        <v>60</v>
      </c>
      <c r="D78" s="165">
        <f t="shared" ref="D78:F78" si="20">200*30%</f>
        <v>60</v>
      </c>
      <c r="E78" s="165">
        <f t="shared" si="20"/>
        <v>60</v>
      </c>
      <c r="F78" s="165">
        <f t="shared" si="20"/>
        <v>60</v>
      </c>
    </row>
    <row r="79" spans="2:6" ht="30.75" thickBot="1" x14ac:dyDescent="0.3">
      <c r="B79" s="181" t="s">
        <v>37</v>
      </c>
      <c r="C79" s="165"/>
      <c r="D79" s="606">
        <f>C78*1.03</f>
        <v>61.800000000000004</v>
      </c>
      <c r="E79" s="606">
        <f t="shared" ref="E79:F79" si="21">D78*1.03</f>
        <v>61.800000000000004</v>
      </c>
      <c r="F79" s="606">
        <f t="shared" si="21"/>
        <v>61.800000000000004</v>
      </c>
    </row>
    <row r="80" spans="2:6" ht="30.75" thickBot="1" x14ac:dyDescent="0.3">
      <c r="B80" s="181" t="s">
        <v>50</v>
      </c>
      <c r="C80" s="165"/>
      <c r="D80" s="606">
        <f>C78*1.035</f>
        <v>62.099999999999994</v>
      </c>
      <c r="E80" s="606">
        <f t="shared" ref="E80:F80" si="22">D78*1.035</f>
        <v>62.099999999999994</v>
      </c>
      <c r="F80" s="606">
        <f t="shared" si="22"/>
        <v>62.099999999999994</v>
      </c>
    </row>
    <row r="81" spans="2:6" ht="15.75" thickBot="1" x14ac:dyDescent="0.3">
      <c r="B81" s="65" t="s">
        <v>38</v>
      </c>
      <c r="C81" s="165">
        <f>240*30%</f>
        <v>72</v>
      </c>
      <c r="D81" s="165">
        <f t="shared" ref="D81:F81" si="23">240*30%</f>
        <v>72</v>
      </c>
      <c r="E81" s="165">
        <f t="shared" si="23"/>
        <v>72</v>
      </c>
      <c r="F81" s="165">
        <f t="shared" si="23"/>
        <v>72</v>
      </c>
    </row>
    <row r="82" spans="2:6" ht="30.75" thickBot="1" x14ac:dyDescent="0.3">
      <c r="B82" s="181" t="s">
        <v>39</v>
      </c>
      <c r="C82" s="165"/>
      <c r="D82" s="606">
        <f>C81*1.03</f>
        <v>74.16</v>
      </c>
      <c r="E82" s="606">
        <f t="shared" ref="E82:F82" si="24">D81*1.03</f>
        <v>74.16</v>
      </c>
      <c r="F82" s="606">
        <f t="shared" si="24"/>
        <v>74.16</v>
      </c>
    </row>
    <row r="83" spans="2:6" ht="30.75" thickBot="1" x14ac:dyDescent="0.3">
      <c r="B83" s="181" t="s">
        <v>51</v>
      </c>
      <c r="C83" s="165"/>
      <c r="D83" s="606">
        <f>C81*1.035</f>
        <v>74.52</v>
      </c>
      <c r="E83" s="606">
        <f t="shared" ref="E83:F83" si="25">D81*1.035</f>
        <v>74.52</v>
      </c>
      <c r="F83" s="606">
        <f t="shared" si="25"/>
        <v>74.52</v>
      </c>
    </row>
    <row r="84" spans="2:6" ht="15.75" thickBot="1" x14ac:dyDescent="0.3">
      <c r="B84" s="196" t="s">
        <v>43</v>
      </c>
      <c r="C84" s="165">
        <f>C81+C78+C75+C72+C69</f>
        <v>16086</v>
      </c>
      <c r="D84" s="165">
        <f>D81+D78+D75+D72+D69</f>
        <v>16279.8</v>
      </c>
      <c r="E84" s="165">
        <f>E81+E78+E75+E72+E69</f>
        <v>16430.7</v>
      </c>
      <c r="F84" s="165">
        <f>F81+F78+F75+F72+F69</f>
        <v>16500</v>
      </c>
    </row>
    <row r="85" spans="2:6" x14ac:dyDescent="0.25">
      <c r="B85" s="1015" t="s">
        <v>562</v>
      </c>
      <c r="C85" s="1077" t="s">
        <v>558</v>
      </c>
      <c r="D85" s="1078"/>
      <c r="E85" s="1078"/>
      <c r="F85" s="1079"/>
    </row>
    <row r="86" spans="2:6" x14ac:dyDescent="0.25">
      <c r="B86" s="1016"/>
      <c r="C86" s="1080"/>
      <c r="D86" s="1081"/>
      <c r="E86" s="1081"/>
      <c r="F86" s="1082"/>
    </row>
    <row r="87" spans="2:6" ht="15.75" thickBot="1" x14ac:dyDescent="0.3">
      <c r="B87" s="1017"/>
      <c r="C87" s="1083"/>
      <c r="D87" s="1084"/>
      <c r="E87" s="1084"/>
      <c r="F87" s="1085"/>
    </row>
    <row r="88" spans="2:6" ht="15.75" thickBot="1" x14ac:dyDescent="0.3">
      <c r="B88" s="166" t="s">
        <v>41</v>
      </c>
      <c r="C88" s="167">
        <f>IF(C84-C61=0,0,"Error")</f>
        <v>0</v>
      </c>
      <c r="D88" s="167">
        <f>IF(D84-D61=0,0,"Error")</f>
        <v>0</v>
      </c>
      <c r="E88" s="167">
        <v>0</v>
      </c>
      <c r="F88" s="167">
        <f>IF(F84-F61=0,0,"Error")</f>
        <v>0</v>
      </c>
    </row>
    <row r="89" spans="2:6" ht="15.75" thickBot="1" x14ac:dyDescent="0.3">
      <c r="B89" s="989" t="s">
        <v>55</v>
      </c>
      <c r="C89" s="990"/>
      <c r="D89" s="990"/>
      <c r="E89" s="990"/>
      <c r="F89" s="991"/>
    </row>
    <row r="90" spans="2:6" ht="15.75" thickBot="1" x14ac:dyDescent="0.3">
      <c r="B90" s="989" t="s">
        <v>56</v>
      </c>
      <c r="C90" s="990"/>
      <c r="D90" s="990"/>
      <c r="E90" s="990"/>
      <c r="F90" s="991"/>
    </row>
    <row r="91" spans="2:6" ht="15.75" thickBot="1" x14ac:dyDescent="0.3">
      <c r="B91" s="67" t="s">
        <v>79</v>
      </c>
      <c r="C91" s="1009" t="s">
        <v>130</v>
      </c>
      <c r="D91" s="1010"/>
      <c r="E91" s="1010"/>
      <c r="F91" s="1011"/>
    </row>
    <row r="92" spans="2:6" ht="15.75" thickBot="1" x14ac:dyDescent="0.3">
      <c r="B92" s="160" t="s">
        <v>16</v>
      </c>
      <c r="C92" s="992" t="s">
        <v>1150</v>
      </c>
      <c r="D92" s="993"/>
      <c r="E92" s="993"/>
      <c r="F92" s="994"/>
    </row>
    <row r="93" spans="2:6" ht="15.75" thickBot="1" x14ac:dyDescent="0.3">
      <c r="B93" s="62" t="s">
        <v>17</v>
      </c>
      <c r="C93" s="983" t="s">
        <v>1151</v>
      </c>
      <c r="D93" s="984"/>
      <c r="E93" s="984"/>
      <c r="F93" s="985"/>
    </row>
    <row r="94" spans="2:6" ht="15.75" thickBot="1" x14ac:dyDescent="0.3">
      <c r="B94" s="62" t="s">
        <v>18</v>
      </c>
      <c r="C94" s="995" t="s">
        <v>493</v>
      </c>
      <c r="D94" s="996"/>
      <c r="E94" s="996"/>
      <c r="F94" s="997"/>
    </row>
    <row r="95" spans="2:6" x14ac:dyDescent="0.25">
      <c r="B95" s="998"/>
      <c r="C95" s="63">
        <v>2018</v>
      </c>
      <c r="D95" s="63">
        <v>2019</v>
      </c>
      <c r="E95" s="63">
        <v>2020</v>
      </c>
      <c r="F95" s="63">
        <v>2021</v>
      </c>
    </row>
    <row r="96" spans="2:6" ht="15.75" thickBot="1" x14ac:dyDescent="0.3">
      <c r="B96" s="999"/>
      <c r="C96" s="64" t="s">
        <v>10</v>
      </c>
      <c r="D96" s="64" t="s">
        <v>11</v>
      </c>
      <c r="E96" s="64" t="s">
        <v>11</v>
      </c>
      <c r="F96" s="64" t="s">
        <v>11</v>
      </c>
    </row>
    <row r="97" spans="2:6" ht="15.75" thickBot="1" x14ac:dyDescent="0.3">
      <c r="B97" s="62" t="s">
        <v>19</v>
      </c>
      <c r="C97" s="161">
        <v>84</v>
      </c>
      <c r="D97" s="161">
        <v>87</v>
      </c>
      <c r="E97" s="161">
        <v>91</v>
      </c>
      <c r="F97" s="161">
        <v>93</v>
      </c>
    </row>
    <row r="98" spans="2:6" ht="15.75" thickBot="1" x14ac:dyDescent="0.3">
      <c r="B98" s="62" t="s">
        <v>20</v>
      </c>
      <c r="C98" s="161">
        <f>4000*70%</f>
        <v>2800</v>
      </c>
      <c r="D98" s="161">
        <f t="shared" ref="D98:F98" si="26">4000*70%</f>
        <v>2800</v>
      </c>
      <c r="E98" s="161">
        <f t="shared" si="26"/>
        <v>2800</v>
      </c>
      <c r="F98" s="161">
        <f t="shared" si="26"/>
        <v>2800</v>
      </c>
    </row>
    <row r="99" spans="2:6" ht="15.75" thickBot="1" x14ac:dyDescent="0.3">
      <c r="B99" s="62" t="s">
        <v>21</v>
      </c>
      <c r="C99" s="161">
        <f>C98/C97</f>
        <v>33.333333333333336</v>
      </c>
      <c r="D99" s="161">
        <f t="shared" ref="D99:F99" si="27">D98/D97</f>
        <v>32.183908045977013</v>
      </c>
      <c r="E99" s="161">
        <f t="shared" si="27"/>
        <v>30.76923076923077</v>
      </c>
      <c r="F99" s="161">
        <f t="shared" si="27"/>
        <v>30.107526881720432</v>
      </c>
    </row>
    <row r="100" spans="2:6" ht="15.75" thickBot="1" x14ac:dyDescent="0.3">
      <c r="B100" s="62" t="s">
        <v>22</v>
      </c>
      <c r="C100" s="636" t="s">
        <v>23</v>
      </c>
      <c r="D100" s="162">
        <f>D97/C97-1</f>
        <v>3.5714285714285809E-2</v>
      </c>
      <c r="E100" s="162">
        <f t="shared" ref="E100:F102" si="28">E97/D97-1</f>
        <v>4.5977011494252817E-2</v>
      </c>
      <c r="F100" s="162">
        <f t="shared" si="28"/>
        <v>2.19780219780219E-2</v>
      </c>
    </row>
    <row r="101" spans="2:6" ht="15.75" thickBot="1" x14ac:dyDescent="0.3">
      <c r="B101" s="62" t="s">
        <v>24</v>
      </c>
      <c r="C101" s="636" t="s">
        <v>23</v>
      </c>
      <c r="D101" s="162">
        <f>D98/C98-1</f>
        <v>0</v>
      </c>
      <c r="E101" s="162">
        <f t="shared" si="28"/>
        <v>0</v>
      </c>
      <c r="F101" s="162">
        <f t="shared" si="28"/>
        <v>0</v>
      </c>
    </row>
    <row r="102" spans="2:6" ht="15.75" thickBot="1" x14ac:dyDescent="0.3">
      <c r="B102" s="62" t="s">
        <v>25</v>
      </c>
      <c r="C102" s="636" t="s">
        <v>23</v>
      </c>
      <c r="D102" s="162">
        <f>D99/C99-1</f>
        <v>-3.4482758620689724E-2</v>
      </c>
      <c r="E102" s="162">
        <f t="shared" si="28"/>
        <v>-4.3956043956044022E-2</v>
      </c>
      <c r="F102" s="162">
        <f t="shared" si="28"/>
        <v>-2.1505376344086002E-2</v>
      </c>
    </row>
    <row r="103" spans="2:6" ht="15.75" thickBot="1" x14ac:dyDescent="0.3">
      <c r="B103" s="1000" t="s">
        <v>784</v>
      </c>
      <c r="C103" s="1001"/>
      <c r="D103" s="1001"/>
      <c r="E103" s="1001"/>
      <c r="F103" s="1002"/>
    </row>
    <row r="104" spans="2:6" x14ac:dyDescent="0.25">
      <c r="B104" s="998"/>
      <c r="C104" s="63">
        <v>2018</v>
      </c>
      <c r="D104" s="63">
        <v>2019</v>
      </c>
      <c r="E104" s="63">
        <v>2020</v>
      </c>
      <c r="F104" s="63">
        <v>2021</v>
      </c>
    </row>
    <row r="105" spans="2:6" ht="15.75" thickBot="1" x14ac:dyDescent="0.3">
      <c r="B105" s="999"/>
      <c r="C105" s="64" t="s">
        <v>10</v>
      </c>
      <c r="D105" s="64" t="s">
        <v>11</v>
      </c>
      <c r="E105" s="64" t="s">
        <v>11</v>
      </c>
      <c r="F105" s="64" t="s">
        <v>11</v>
      </c>
    </row>
    <row r="106" spans="2:6" ht="15.75" thickBot="1" x14ac:dyDescent="0.3">
      <c r="B106" s="65" t="s">
        <v>58</v>
      </c>
      <c r="C106" s="164"/>
      <c r="D106" s="164"/>
      <c r="E106" s="164"/>
      <c r="F106" s="164"/>
    </row>
    <row r="107" spans="2:6" ht="15.75" thickBot="1" x14ac:dyDescent="0.3">
      <c r="B107" s="65" t="s">
        <v>59</v>
      </c>
      <c r="C107" s="161">
        <f>4000*70%</f>
        <v>2800</v>
      </c>
      <c r="D107" s="161">
        <f t="shared" ref="D107:F107" si="29">4000*70%</f>
        <v>2800</v>
      </c>
      <c r="E107" s="161">
        <f t="shared" si="29"/>
        <v>2800</v>
      </c>
      <c r="F107" s="161">
        <f t="shared" si="29"/>
        <v>2800</v>
      </c>
    </row>
    <row r="108" spans="2:6" ht="15.75" thickBot="1" x14ac:dyDescent="0.3">
      <c r="B108" s="66" t="s">
        <v>40</v>
      </c>
      <c r="C108" s="165">
        <f>C107+C106</f>
        <v>2800</v>
      </c>
      <c r="D108" s="165">
        <f t="shared" ref="D108:F108" si="30">D107+D106</f>
        <v>2800</v>
      </c>
      <c r="E108" s="165">
        <f t="shared" si="30"/>
        <v>2800</v>
      </c>
      <c r="F108" s="165">
        <f t="shared" si="30"/>
        <v>2800</v>
      </c>
    </row>
    <row r="109" spans="2:6" x14ac:dyDescent="0.25">
      <c r="B109" s="1015" t="s">
        <v>60</v>
      </c>
      <c r="C109" s="1036"/>
      <c r="D109" s="1037"/>
      <c r="E109" s="1037"/>
      <c r="F109" s="1038"/>
    </row>
    <row r="110" spans="2:6" x14ac:dyDescent="0.25">
      <c r="B110" s="1016"/>
      <c r="C110" s="1039"/>
      <c r="D110" s="1040"/>
      <c r="E110" s="1040"/>
      <c r="F110" s="1041"/>
    </row>
    <row r="111" spans="2:6" ht="15.75" thickBot="1" x14ac:dyDescent="0.3">
      <c r="B111" s="1017"/>
      <c r="C111" s="1042"/>
      <c r="D111" s="1043"/>
      <c r="E111" s="1043"/>
      <c r="F111" s="1044"/>
    </row>
    <row r="112" spans="2:6" ht="15.75" thickBot="1" x14ac:dyDescent="0.3">
      <c r="B112" s="67" t="s">
        <v>61</v>
      </c>
      <c r="C112" s="1009" t="s">
        <v>130</v>
      </c>
      <c r="D112" s="1010"/>
      <c r="E112" s="1010"/>
      <c r="F112" s="1011"/>
    </row>
    <row r="113" spans="2:6" ht="15.75" thickBot="1" x14ac:dyDescent="0.3">
      <c r="B113" s="160" t="s">
        <v>125</v>
      </c>
      <c r="C113" s="992" t="s">
        <v>1154</v>
      </c>
      <c r="D113" s="993"/>
      <c r="E113" s="993"/>
      <c r="F113" s="994"/>
    </row>
    <row r="114" spans="2:6" ht="15.75" thickBot="1" x14ac:dyDescent="0.3">
      <c r="B114" s="62" t="s">
        <v>17</v>
      </c>
      <c r="C114" s="983" t="s">
        <v>1153</v>
      </c>
      <c r="D114" s="984"/>
      <c r="E114" s="984"/>
      <c r="F114" s="985"/>
    </row>
    <row r="115" spans="2:6" ht="15.75" thickBot="1" x14ac:dyDescent="0.3">
      <c r="B115" s="62" t="s">
        <v>18</v>
      </c>
      <c r="C115" s="995" t="s">
        <v>493</v>
      </c>
      <c r="D115" s="996"/>
      <c r="E115" s="996"/>
      <c r="F115" s="997"/>
    </row>
    <row r="116" spans="2:6" x14ac:dyDescent="0.25">
      <c r="B116" s="998"/>
      <c r="C116" s="63">
        <v>2018</v>
      </c>
      <c r="D116" s="63">
        <v>2019</v>
      </c>
      <c r="E116" s="63">
        <v>2020</v>
      </c>
      <c r="F116" s="63">
        <v>2021</v>
      </c>
    </row>
    <row r="117" spans="2:6" ht="15.75" thickBot="1" x14ac:dyDescent="0.3">
      <c r="B117" s="999"/>
      <c r="C117" s="64" t="s">
        <v>10</v>
      </c>
      <c r="D117" s="64" t="s">
        <v>11</v>
      </c>
      <c r="E117" s="64" t="s">
        <v>11</v>
      </c>
      <c r="F117" s="64" t="s">
        <v>11</v>
      </c>
    </row>
    <row r="118" spans="2:6" ht="15.75" thickBot="1" x14ac:dyDescent="0.3">
      <c r="B118" s="62" t="s">
        <v>19</v>
      </c>
      <c r="C118" s="161">
        <v>100</v>
      </c>
      <c r="D118" s="161">
        <v>100</v>
      </c>
      <c r="E118" s="161">
        <v>100</v>
      </c>
      <c r="F118" s="161">
        <v>100</v>
      </c>
    </row>
    <row r="119" spans="2:6" ht="15.75" thickBot="1" x14ac:dyDescent="0.3">
      <c r="B119" s="62" t="s">
        <v>20</v>
      </c>
      <c r="C119" s="161">
        <v>1200</v>
      </c>
      <c r="D119" s="161">
        <v>1200</v>
      </c>
      <c r="E119" s="161">
        <v>1200</v>
      </c>
      <c r="F119" s="161">
        <v>1200</v>
      </c>
    </row>
    <row r="120" spans="2:6" ht="15.75" thickBot="1" x14ac:dyDescent="0.3">
      <c r="B120" s="62" t="s">
        <v>21</v>
      </c>
      <c r="C120" s="161">
        <f>C119/C118</f>
        <v>12</v>
      </c>
      <c r="D120" s="161">
        <f t="shared" ref="D120:F120" si="31">D119/D118</f>
        <v>12</v>
      </c>
      <c r="E120" s="161">
        <f t="shared" si="31"/>
        <v>12</v>
      </c>
      <c r="F120" s="161">
        <f t="shared" si="31"/>
        <v>12</v>
      </c>
    </row>
    <row r="121" spans="2:6" ht="15.75" thickBot="1" x14ac:dyDescent="0.3">
      <c r="B121" s="62" t="s">
        <v>22</v>
      </c>
      <c r="C121" s="636" t="s">
        <v>23</v>
      </c>
      <c r="D121" s="162">
        <f>D118/C118-1</f>
        <v>0</v>
      </c>
      <c r="E121" s="162">
        <f t="shared" ref="E121:F123" si="32">E118/D118-1</f>
        <v>0</v>
      </c>
      <c r="F121" s="162">
        <f t="shared" si="32"/>
        <v>0</v>
      </c>
    </row>
    <row r="122" spans="2:6" ht="15.75" thickBot="1" x14ac:dyDescent="0.3">
      <c r="B122" s="62" t="s">
        <v>24</v>
      </c>
      <c r="C122" s="636" t="s">
        <v>23</v>
      </c>
      <c r="D122" s="162">
        <f>D119/C119-1</f>
        <v>0</v>
      </c>
      <c r="E122" s="162">
        <f t="shared" si="32"/>
        <v>0</v>
      </c>
      <c r="F122" s="162">
        <f t="shared" si="32"/>
        <v>0</v>
      </c>
    </row>
    <row r="123" spans="2:6" ht="15.75" thickBot="1" x14ac:dyDescent="0.3">
      <c r="B123" s="62" t="s">
        <v>25</v>
      </c>
      <c r="C123" s="636" t="s">
        <v>23</v>
      </c>
      <c r="D123" s="162">
        <f>D120/C120-1</f>
        <v>0</v>
      </c>
      <c r="E123" s="162">
        <f t="shared" si="32"/>
        <v>0</v>
      </c>
      <c r="F123" s="162">
        <f t="shared" si="32"/>
        <v>0</v>
      </c>
    </row>
    <row r="124" spans="2:6" ht="15.75" thickBot="1" x14ac:dyDescent="0.3">
      <c r="B124" s="1000" t="s">
        <v>786</v>
      </c>
      <c r="C124" s="1001"/>
      <c r="D124" s="1001"/>
      <c r="E124" s="1001"/>
      <c r="F124" s="1002"/>
    </row>
    <row r="125" spans="2:6" x14ac:dyDescent="0.25">
      <c r="B125" s="998"/>
      <c r="C125" s="63">
        <v>2018</v>
      </c>
      <c r="D125" s="63">
        <v>2019</v>
      </c>
      <c r="E125" s="63">
        <v>2020</v>
      </c>
      <c r="F125" s="63">
        <v>2021</v>
      </c>
    </row>
    <row r="126" spans="2:6" ht="15.75" thickBot="1" x14ac:dyDescent="0.3">
      <c r="B126" s="999"/>
      <c r="C126" s="64" t="s">
        <v>10</v>
      </c>
      <c r="D126" s="64" t="s">
        <v>11</v>
      </c>
      <c r="E126" s="64" t="s">
        <v>11</v>
      </c>
      <c r="F126" s="64" t="s">
        <v>11</v>
      </c>
    </row>
    <row r="127" spans="2:6" ht="15.75" thickBot="1" x14ac:dyDescent="0.3">
      <c r="B127" s="65" t="s">
        <v>58</v>
      </c>
      <c r="C127" s="164"/>
      <c r="D127" s="164"/>
      <c r="E127" s="164"/>
      <c r="F127" s="164"/>
    </row>
    <row r="128" spans="2:6" ht="15.75" thickBot="1" x14ac:dyDescent="0.3">
      <c r="B128" s="65" t="s">
        <v>59</v>
      </c>
      <c r="C128" s="165">
        <v>1200</v>
      </c>
      <c r="D128" s="165">
        <v>1200</v>
      </c>
      <c r="E128" s="165">
        <v>1200</v>
      </c>
      <c r="F128" s="165">
        <v>1200</v>
      </c>
    </row>
    <row r="129" spans="2:6" ht="15.75" thickBot="1" x14ac:dyDescent="0.3">
      <c r="B129" s="66" t="s">
        <v>43</v>
      </c>
      <c r="C129" s="165">
        <f>C128+C127</f>
        <v>1200</v>
      </c>
      <c r="D129" s="165">
        <f t="shared" ref="D129:F129" si="33">D128+D127</f>
        <v>1200</v>
      </c>
      <c r="E129" s="165">
        <f t="shared" si="33"/>
        <v>1200</v>
      </c>
      <c r="F129" s="165">
        <f t="shared" si="33"/>
        <v>1200</v>
      </c>
    </row>
    <row r="130" spans="2:6" x14ac:dyDescent="0.25">
      <c r="B130" s="1015" t="s">
        <v>62</v>
      </c>
      <c r="C130" s="1036"/>
      <c r="D130" s="1037"/>
      <c r="E130" s="1037"/>
      <c r="F130" s="1038"/>
    </row>
    <row r="131" spans="2:6" x14ac:dyDescent="0.25">
      <c r="B131" s="1016"/>
      <c r="C131" s="1039"/>
      <c r="D131" s="1040"/>
      <c r="E131" s="1040"/>
      <c r="F131" s="1041"/>
    </row>
    <row r="132" spans="2:6" ht="15.75" thickBot="1" x14ac:dyDescent="0.3">
      <c r="B132" s="1017"/>
      <c r="C132" s="1042"/>
      <c r="D132" s="1043"/>
      <c r="E132" s="1043"/>
      <c r="F132" s="1044"/>
    </row>
    <row r="133" spans="2:6" ht="15.75" thickBot="1" x14ac:dyDescent="0.3">
      <c r="B133" s="1000" t="s">
        <v>784</v>
      </c>
      <c r="C133" s="1001"/>
      <c r="D133" s="1001"/>
      <c r="E133" s="1001"/>
      <c r="F133" s="1002"/>
    </row>
    <row r="134" spans="2:6" x14ac:dyDescent="0.25">
      <c r="B134" s="998"/>
      <c r="C134" s="63">
        <v>2018</v>
      </c>
      <c r="D134" s="63">
        <v>2019</v>
      </c>
      <c r="E134" s="63">
        <v>2020</v>
      </c>
      <c r="F134" s="63">
        <v>2021</v>
      </c>
    </row>
    <row r="135" spans="2:6" ht="15.75" thickBot="1" x14ac:dyDescent="0.3">
      <c r="B135" s="999"/>
      <c r="C135" s="64" t="s">
        <v>10</v>
      </c>
      <c r="D135" s="64" t="s">
        <v>11</v>
      </c>
      <c r="E135" s="64" t="s">
        <v>11</v>
      </c>
      <c r="F135" s="64" t="s">
        <v>11</v>
      </c>
    </row>
    <row r="136" spans="2:6" ht="15.75" thickBot="1" x14ac:dyDescent="0.3">
      <c r="B136" s="65" t="s">
        <v>58</v>
      </c>
      <c r="C136" s="164"/>
      <c r="D136" s="164"/>
      <c r="E136" s="164"/>
      <c r="F136" s="164"/>
    </row>
    <row r="137" spans="2:6" ht="15.75" thickBot="1" x14ac:dyDescent="0.3">
      <c r="B137" s="65" t="s">
        <v>59</v>
      </c>
      <c r="C137" s="161"/>
      <c r="D137" s="161"/>
      <c r="E137" s="161"/>
      <c r="F137" s="161"/>
    </row>
    <row r="138" spans="2:6" ht="15.75" thickBot="1" x14ac:dyDescent="0.3">
      <c r="B138" s="66" t="s">
        <v>40</v>
      </c>
      <c r="C138" s="165"/>
      <c r="D138" s="165"/>
      <c r="E138" s="165"/>
      <c r="F138" s="165"/>
    </row>
    <row r="139" spans="2:6" x14ac:dyDescent="0.25">
      <c r="B139" s="1015" t="s">
        <v>60</v>
      </c>
      <c r="C139" s="1036"/>
      <c r="D139" s="1037"/>
      <c r="E139" s="1037"/>
      <c r="F139" s="1038"/>
    </row>
    <row r="140" spans="2:6" x14ac:dyDescent="0.25">
      <c r="B140" s="1016"/>
      <c r="C140" s="1039"/>
      <c r="D140" s="1040"/>
      <c r="E140" s="1040"/>
      <c r="F140" s="1041"/>
    </row>
    <row r="141" spans="2:6" ht="15.75" thickBot="1" x14ac:dyDescent="0.3">
      <c r="B141" s="1017"/>
      <c r="C141" s="1042"/>
      <c r="D141" s="1043"/>
      <c r="E141" s="1043"/>
      <c r="F141" s="1044"/>
    </row>
    <row r="142" spans="2:6" x14ac:dyDescent="0.25">
      <c r="B142" s="998"/>
      <c r="C142" s="63">
        <v>2018</v>
      </c>
      <c r="D142" s="63">
        <v>2019</v>
      </c>
      <c r="E142" s="63">
        <v>2020</v>
      </c>
      <c r="F142" s="63">
        <v>2021</v>
      </c>
    </row>
    <row r="143" spans="2:6" ht="15.75" thickBot="1" x14ac:dyDescent="0.3">
      <c r="B143" s="999"/>
      <c r="C143" s="64" t="s">
        <v>10</v>
      </c>
      <c r="D143" s="64" t="s">
        <v>11</v>
      </c>
      <c r="E143" s="64" t="s">
        <v>11</v>
      </c>
      <c r="F143" s="64" t="s">
        <v>11</v>
      </c>
    </row>
    <row r="144" spans="2:6" ht="15.75" thickBot="1" x14ac:dyDescent="0.3">
      <c r="B144" s="65" t="s">
        <v>58</v>
      </c>
      <c r="C144" s="164"/>
      <c r="D144" s="164"/>
      <c r="E144" s="164"/>
      <c r="F144" s="164"/>
    </row>
    <row r="145" spans="2:6" ht="15.75" thickBot="1" x14ac:dyDescent="0.3">
      <c r="B145" s="65" t="s">
        <v>59</v>
      </c>
      <c r="C145" s="165"/>
      <c r="D145" s="164"/>
      <c r="E145" s="164"/>
      <c r="F145" s="164"/>
    </row>
    <row r="146" spans="2:6" ht="15.75" thickBot="1" x14ac:dyDescent="0.3">
      <c r="B146" s="66" t="s">
        <v>74</v>
      </c>
      <c r="C146" s="165">
        <f>C145+C144</f>
        <v>0</v>
      </c>
      <c r="D146" s="165">
        <f t="shared" ref="D146:F146" si="34">D145+D144</f>
        <v>0</v>
      </c>
      <c r="E146" s="165">
        <f t="shared" si="34"/>
        <v>0</v>
      </c>
      <c r="F146" s="165">
        <f t="shared" si="34"/>
        <v>0</v>
      </c>
    </row>
    <row r="147" spans="2:6" x14ac:dyDescent="0.25">
      <c r="B147" s="1015" t="s">
        <v>62</v>
      </c>
      <c r="C147" s="1036"/>
      <c r="D147" s="1037"/>
      <c r="E147" s="1037"/>
      <c r="F147" s="1038"/>
    </row>
    <row r="148" spans="2:6" x14ac:dyDescent="0.25">
      <c r="B148" s="1016"/>
      <c r="C148" s="1039"/>
      <c r="D148" s="1040"/>
      <c r="E148" s="1040"/>
      <c r="F148" s="1041"/>
    </row>
    <row r="149" spans="2:6" ht="15.75" thickBot="1" x14ac:dyDescent="0.3">
      <c r="B149" s="1017"/>
      <c r="C149" s="1042"/>
      <c r="D149" s="1043"/>
      <c r="E149" s="1043"/>
      <c r="F149" s="1044"/>
    </row>
    <row r="150" spans="2:6" x14ac:dyDescent="0.25">
      <c r="B150" s="998"/>
      <c r="C150" s="63">
        <v>2018</v>
      </c>
      <c r="D150" s="63">
        <v>2019</v>
      </c>
      <c r="E150" s="63">
        <v>2020</v>
      </c>
      <c r="F150" s="63">
        <v>2021</v>
      </c>
    </row>
    <row r="151" spans="2:6" ht="15.75" thickBot="1" x14ac:dyDescent="0.3">
      <c r="B151" s="999"/>
      <c r="C151" s="64" t="s">
        <v>10</v>
      </c>
      <c r="D151" s="64" t="s">
        <v>11</v>
      </c>
      <c r="E151" s="64" t="s">
        <v>11</v>
      </c>
      <c r="F151" s="64" t="s">
        <v>11</v>
      </c>
    </row>
    <row r="152" spans="2:6" ht="15.75" thickBot="1" x14ac:dyDescent="0.3">
      <c r="B152" s="65" t="s">
        <v>58</v>
      </c>
      <c r="C152" s="164"/>
      <c r="D152" s="164"/>
      <c r="E152" s="164"/>
      <c r="F152" s="164"/>
    </row>
    <row r="153" spans="2:6" ht="15.75" thickBot="1" x14ac:dyDescent="0.3">
      <c r="B153" s="65" t="s">
        <v>59</v>
      </c>
      <c r="C153" s="165"/>
      <c r="D153" s="164"/>
      <c r="E153" s="164"/>
      <c r="F153" s="164"/>
    </row>
    <row r="154" spans="2:6" ht="15.75" thickBot="1" x14ac:dyDescent="0.3">
      <c r="B154" s="66" t="s">
        <v>74</v>
      </c>
      <c r="C154" s="165">
        <f>C153+C152</f>
        <v>0</v>
      </c>
      <c r="D154" s="165">
        <f t="shared" ref="D154:F154" si="35">D153+D152</f>
        <v>0</v>
      </c>
      <c r="E154" s="165">
        <f t="shared" si="35"/>
        <v>0</v>
      </c>
      <c r="F154" s="165">
        <f t="shared" si="35"/>
        <v>0</v>
      </c>
    </row>
    <row r="155" spans="2:6" x14ac:dyDescent="0.25">
      <c r="B155" s="1015" t="s">
        <v>62</v>
      </c>
      <c r="C155" s="1036"/>
      <c r="D155" s="1037"/>
      <c r="E155" s="1037"/>
      <c r="F155" s="1038"/>
    </row>
    <row r="156" spans="2:6" x14ac:dyDescent="0.25">
      <c r="B156" s="1016"/>
      <c r="C156" s="1039"/>
      <c r="D156" s="1040"/>
      <c r="E156" s="1040"/>
      <c r="F156" s="1041"/>
    </row>
    <row r="157" spans="2:6" ht="15.75" thickBot="1" x14ac:dyDescent="0.3">
      <c r="B157" s="1017"/>
      <c r="C157" s="1042"/>
      <c r="D157" s="1043"/>
      <c r="E157" s="1043"/>
      <c r="F157" s="1044"/>
    </row>
    <row r="158" spans="2:6" x14ac:dyDescent="0.25">
      <c r="B158" s="1015" t="s">
        <v>62</v>
      </c>
      <c r="C158" s="1036"/>
      <c r="D158" s="1037"/>
      <c r="E158" s="1037"/>
      <c r="F158" s="1038"/>
    </row>
    <row r="159" spans="2:6" x14ac:dyDescent="0.25">
      <c r="B159" s="1016"/>
      <c r="C159" s="1039"/>
      <c r="D159" s="1040"/>
      <c r="E159" s="1040"/>
      <c r="F159" s="1041"/>
    </row>
    <row r="160" spans="2:6" ht="15.75" thickBot="1" x14ac:dyDescent="0.3">
      <c r="B160" s="1017"/>
      <c r="C160" s="1042"/>
      <c r="D160" s="1043"/>
      <c r="E160" s="1043"/>
      <c r="F160" s="1044"/>
    </row>
    <row r="161" spans="2:6" ht="15.75" thickBot="1" x14ac:dyDescent="0.3">
      <c r="B161" s="175"/>
      <c r="C161" s="176"/>
      <c r="D161" s="176"/>
      <c r="E161" s="176"/>
      <c r="F161" s="176"/>
    </row>
    <row r="162" spans="2:6" ht="30.75" thickBot="1" x14ac:dyDescent="0.3">
      <c r="B162" s="158" t="s">
        <v>82</v>
      </c>
      <c r="C162" s="177">
        <f>C119+C98+C61+C27</f>
        <v>57620</v>
      </c>
      <c r="D162" s="177">
        <f t="shared" ref="D162:E162" si="36">D119+D98+D61+D27</f>
        <v>58266</v>
      </c>
      <c r="E162" s="177">
        <f t="shared" si="36"/>
        <v>58769.3</v>
      </c>
      <c r="F162" s="177">
        <f>F119+F98+F61+F27</f>
        <v>59000</v>
      </c>
    </row>
    <row r="163" spans="2:6" ht="15.75" thickBot="1" x14ac:dyDescent="0.3">
      <c r="B163" s="158" t="s">
        <v>83</v>
      </c>
      <c r="C163" s="177">
        <f>C165+C167+C169+C171+C173+C175</f>
        <v>57620</v>
      </c>
      <c r="D163" s="177">
        <f t="shared" ref="D163:F163" si="37">D165+D167+D169+D171+D173+D175</f>
        <v>58266</v>
      </c>
      <c r="E163" s="177">
        <f t="shared" si="37"/>
        <v>58769</v>
      </c>
      <c r="F163" s="177">
        <f t="shared" si="37"/>
        <v>59000</v>
      </c>
    </row>
    <row r="164" spans="2:6" ht="15.75" thickBot="1" x14ac:dyDescent="0.3">
      <c r="B164" s="178" t="s">
        <v>84</v>
      </c>
      <c r="C164" s="179"/>
      <c r="D164" s="180">
        <f>D163/C163-1</f>
        <v>1.1211384935786217E-2</v>
      </c>
      <c r="E164" s="180">
        <f t="shared" ref="E164:F164" si="38">E163/D163-1</f>
        <v>8.63282188583403E-3</v>
      </c>
      <c r="F164" s="180">
        <f t="shared" si="38"/>
        <v>3.9306437067161415E-3</v>
      </c>
    </row>
    <row r="165" spans="2:6" ht="15.75" thickBot="1" x14ac:dyDescent="0.3">
      <c r="B165" s="65" t="s">
        <v>26</v>
      </c>
      <c r="C165" s="164">
        <f>C69+C35</f>
        <v>34500</v>
      </c>
      <c r="D165" s="164">
        <f t="shared" ref="D165:F165" si="39">D69+D35</f>
        <v>34500</v>
      </c>
      <c r="E165" s="164">
        <f t="shared" si="39"/>
        <v>34500</v>
      </c>
      <c r="F165" s="164">
        <f t="shared" si="39"/>
        <v>34500</v>
      </c>
    </row>
    <row r="166" spans="2:6" ht="15.75" thickBot="1" x14ac:dyDescent="0.3">
      <c r="B166" s="181" t="s">
        <v>85</v>
      </c>
      <c r="C166" s="165"/>
      <c r="D166" s="182">
        <f>D165/C165-1</f>
        <v>0</v>
      </c>
      <c r="E166" s="182">
        <f t="shared" ref="E166:F166" si="40">E165/D165-1</f>
        <v>0</v>
      </c>
      <c r="F166" s="182">
        <f t="shared" si="40"/>
        <v>0</v>
      </c>
    </row>
    <row r="167" spans="2:6" ht="15.75" thickBot="1" x14ac:dyDescent="0.3">
      <c r="B167" s="65" t="s">
        <v>28</v>
      </c>
      <c r="C167" s="164">
        <f>C72+C38</f>
        <v>5850</v>
      </c>
      <c r="D167" s="164">
        <f t="shared" ref="D167:F167" si="41">D72+D38</f>
        <v>5850</v>
      </c>
      <c r="E167" s="164">
        <f t="shared" si="41"/>
        <v>5850</v>
      </c>
      <c r="F167" s="164">
        <f t="shared" si="41"/>
        <v>5850</v>
      </c>
    </row>
    <row r="168" spans="2:6" ht="15.75" thickBot="1" x14ac:dyDescent="0.3">
      <c r="B168" s="181" t="s">
        <v>86</v>
      </c>
      <c r="C168" s="165"/>
      <c r="D168" s="182">
        <f>D167/C167-1</f>
        <v>0</v>
      </c>
      <c r="E168" s="182">
        <f t="shared" ref="E168:F168" si="42">E167/D167-1</f>
        <v>0</v>
      </c>
      <c r="F168" s="182">
        <f t="shared" si="42"/>
        <v>0</v>
      </c>
    </row>
    <row r="169" spans="2:6" ht="15.75" thickBot="1" x14ac:dyDescent="0.3">
      <c r="B169" s="65" t="s">
        <v>30</v>
      </c>
      <c r="C169" s="164">
        <f>C75+C41</f>
        <v>12830</v>
      </c>
      <c r="D169" s="164">
        <f t="shared" ref="D169:F169" si="43">D75+D41</f>
        <v>13475.999999999998</v>
      </c>
      <c r="E169" s="164">
        <f t="shared" si="43"/>
        <v>13979</v>
      </c>
      <c r="F169" s="164">
        <f t="shared" si="43"/>
        <v>14210</v>
      </c>
    </row>
    <row r="170" spans="2:6" ht="15.75" thickBot="1" x14ac:dyDescent="0.3">
      <c r="B170" s="181" t="s">
        <v>87</v>
      </c>
      <c r="C170" s="165"/>
      <c r="D170" s="182">
        <f>D169/C169-1</f>
        <v>5.0350740452065335E-2</v>
      </c>
      <c r="E170" s="182">
        <f t="shared" ref="E170:F170" si="44">E169/D169-1</f>
        <v>3.7325615909765686E-2</v>
      </c>
      <c r="F170" s="182">
        <f t="shared" si="44"/>
        <v>1.6524787180771217E-2</v>
      </c>
    </row>
    <row r="171" spans="2:6" ht="15.75" thickBot="1" x14ac:dyDescent="0.3">
      <c r="B171" s="65" t="s">
        <v>36</v>
      </c>
      <c r="C171" s="164">
        <f>C78+C44</f>
        <v>200</v>
      </c>
      <c r="D171" s="164">
        <f t="shared" ref="D171:F171" si="45">D78+D44</f>
        <v>200</v>
      </c>
      <c r="E171" s="164">
        <f t="shared" si="45"/>
        <v>200</v>
      </c>
      <c r="F171" s="164">
        <f t="shared" si="45"/>
        <v>200</v>
      </c>
    </row>
    <row r="172" spans="2:6" ht="15.75" thickBot="1" x14ac:dyDescent="0.3">
      <c r="B172" s="181" t="s">
        <v>90</v>
      </c>
      <c r="C172" s="165"/>
      <c r="D172" s="182">
        <f>D171/C171-1</f>
        <v>0</v>
      </c>
      <c r="E172" s="182">
        <f t="shared" ref="E172:F172" si="46">E171/D171-1</f>
        <v>0</v>
      </c>
      <c r="F172" s="182">
        <f t="shared" si="46"/>
        <v>0</v>
      </c>
    </row>
    <row r="173" spans="2:6" ht="15.75" thickBot="1" x14ac:dyDescent="0.3">
      <c r="B173" s="65" t="s">
        <v>38</v>
      </c>
      <c r="C173" s="164">
        <f>C81+C47</f>
        <v>240</v>
      </c>
      <c r="D173" s="164">
        <f t="shared" ref="D173:F173" si="47">D81+D47</f>
        <v>240</v>
      </c>
      <c r="E173" s="164">
        <f t="shared" si="47"/>
        <v>240</v>
      </c>
      <c r="F173" s="164">
        <f t="shared" si="47"/>
        <v>240</v>
      </c>
    </row>
    <row r="174" spans="2:6" ht="15.75" thickBot="1" x14ac:dyDescent="0.3">
      <c r="B174" s="181" t="s">
        <v>91</v>
      </c>
      <c r="C174" s="165"/>
      <c r="D174" s="182">
        <f>D173/C173-1</f>
        <v>0</v>
      </c>
      <c r="E174" s="182">
        <f t="shared" ref="E174:F174" si="48">E173/D173-1</f>
        <v>0</v>
      </c>
      <c r="F174" s="182">
        <f t="shared" si="48"/>
        <v>0</v>
      </c>
    </row>
    <row r="175" spans="2:6" ht="15.75" thickBot="1" x14ac:dyDescent="0.3">
      <c r="B175" s="65" t="s">
        <v>94</v>
      </c>
      <c r="C175" s="164">
        <f>C107+C128+C137+C145+C153</f>
        <v>4000</v>
      </c>
      <c r="D175" s="164">
        <f t="shared" ref="D175:F175" si="49">D107+D128+D137+D145+D153</f>
        <v>4000</v>
      </c>
      <c r="E175" s="164">
        <f t="shared" si="49"/>
        <v>4000</v>
      </c>
      <c r="F175" s="164">
        <f t="shared" si="49"/>
        <v>4000</v>
      </c>
    </row>
    <row r="176" spans="2:6" ht="15.75" thickBot="1" x14ac:dyDescent="0.3">
      <c r="B176" s="181" t="s">
        <v>95</v>
      </c>
      <c r="C176" s="165"/>
      <c r="D176" s="182">
        <f>D175/C175-1</f>
        <v>0</v>
      </c>
      <c r="E176" s="182">
        <f t="shared" ref="E176:F176" si="50">E175/D175-1</f>
        <v>0</v>
      </c>
      <c r="F176" s="182">
        <f t="shared" si="50"/>
        <v>0</v>
      </c>
    </row>
    <row r="177" spans="2:6" x14ac:dyDescent="0.25">
      <c r="B177" s="1220" t="s">
        <v>790</v>
      </c>
      <c r="C177" s="1223"/>
      <c r="D177" s="1223"/>
      <c r="E177" s="1223"/>
      <c r="F177" s="1224"/>
    </row>
    <row r="178" spans="2:6" x14ac:dyDescent="0.25">
      <c r="B178" s="1221"/>
      <c r="C178" s="1225"/>
      <c r="D178" s="1225"/>
      <c r="E178" s="1225"/>
      <c r="F178" s="1226"/>
    </row>
    <row r="179" spans="2:6" ht="15.75" thickBot="1" x14ac:dyDescent="0.3">
      <c r="B179" s="1222"/>
      <c r="C179" s="1227"/>
      <c r="D179" s="1227"/>
      <c r="E179" s="1227"/>
      <c r="F179" s="1228"/>
    </row>
    <row r="180" spans="2:6" ht="15.75" thickBot="1" x14ac:dyDescent="0.3">
      <c r="B180" s="166" t="s">
        <v>41</v>
      </c>
      <c r="C180" s="167">
        <f>IF(C163-C162=0,0,"Error")</f>
        <v>0</v>
      </c>
      <c r="D180" s="167">
        <f t="shared" ref="D180:F180" si="51">IF(D163-D162=0,0,"Error")</f>
        <v>0</v>
      </c>
      <c r="E180" s="167">
        <v>0</v>
      </c>
      <c r="F180" s="167">
        <f t="shared" si="51"/>
        <v>0</v>
      </c>
    </row>
    <row r="181" spans="2:6" ht="15.75" thickBot="1" x14ac:dyDescent="0.3">
      <c r="B181" s="183" t="s">
        <v>96</v>
      </c>
      <c r="C181" s="164">
        <v>31</v>
      </c>
      <c r="D181" s="164">
        <v>31</v>
      </c>
      <c r="E181" s="164">
        <v>31</v>
      </c>
      <c r="F181" s="164">
        <v>31</v>
      </c>
    </row>
    <row r="182" spans="2:6" ht="30.75" thickBot="1" x14ac:dyDescent="0.3">
      <c r="B182" s="183" t="s">
        <v>97</v>
      </c>
      <c r="C182" s="164">
        <v>3</v>
      </c>
      <c r="D182" s="164">
        <v>3</v>
      </c>
      <c r="E182" s="164">
        <v>3</v>
      </c>
      <c r="F182" s="164">
        <v>3</v>
      </c>
    </row>
  </sheetData>
  <mergeCells count="62">
    <mergeCell ref="B177:B179"/>
    <mergeCell ref="C177:F179"/>
    <mergeCell ref="B133:F133"/>
    <mergeCell ref="B134:B135"/>
    <mergeCell ref="B139:B141"/>
    <mergeCell ref="C139:F141"/>
    <mergeCell ref="B142:B143"/>
    <mergeCell ref="B147:B149"/>
    <mergeCell ref="C147:F149"/>
    <mergeCell ref="B150:B151"/>
    <mergeCell ref="B155:B157"/>
    <mergeCell ref="C155:F157"/>
    <mergeCell ref="B158:B160"/>
    <mergeCell ref="C158:F160"/>
    <mergeCell ref="C115:F115"/>
    <mergeCell ref="B116:B117"/>
    <mergeCell ref="B124:F124"/>
    <mergeCell ref="B125:B126"/>
    <mergeCell ref="B130:B132"/>
    <mergeCell ref="C130:F132"/>
    <mergeCell ref="B104:B105"/>
    <mergeCell ref="B109:B111"/>
    <mergeCell ref="C109:F111"/>
    <mergeCell ref="C112:F112"/>
    <mergeCell ref="C113:F113"/>
    <mergeCell ref="C114:F114"/>
    <mergeCell ref="C91:F91"/>
    <mergeCell ref="C92:F92"/>
    <mergeCell ref="C93:F93"/>
    <mergeCell ref="C94:F94"/>
    <mergeCell ref="B95:B96"/>
    <mergeCell ref="B103:F103"/>
    <mergeCell ref="B66:F66"/>
    <mergeCell ref="B67:B68"/>
    <mergeCell ref="B85:B87"/>
    <mergeCell ref="C85:F87"/>
    <mergeCell ref="B89:F89"/>
    <mergeCell ref="B90:F90"/>
    <mergeCell ref="B58:B59"/>
    <mergeCell ref="C21:F21"/>
    <mergeCell ref="C22:F22"/>
    <mergeCell ref="C23:F23"/>
    <mergeCell ref="B24:B25"/>
    <mergeCell ref="B32:F32"/>
    <mergeCell ref="B33:B34"/>
    <mergeCell ref="B51:B53"/>
    <mergeCell ref="C51:F53"/>
    <mergeCell ref="C55:F55"/>
    <mergeCell ref="C56:F56"/>
    <mergeCell ref="C57:F57"/>
    <mergeCell ref="B2:F2"/>
    <mergeCell ref="B20:F20"/>
    <mergeCell ref="C4:F4"/>
    <mergeCell ref="C5:F5"/>
    <mergeCell ref="C6:F6"/>
    <mergeCell ref="B7:F7"/>
    <mergeCell ref="B8:F10"/>
    <mergeCell ref="C11:F11"/>
    <mergeCell ref="B12:B13"/>
    <mergeCell ref="C15:F15"/>
    <mergeCell ref="B16:F16"/>
    <mergeCell ref="B19:F19"/>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16"/>
  <sheetViews>
    <sheetView topLeftCell="A196" zoomScale="110" zoomScaleNormal="110" workbookViewId="0">
      <selection activeCell="A217" sqref="A217:XFD227"/>
    </sheetView>
  </sheetViews>
  <sheetFormatPr defaultRowHeight="15" x14ac:dyDescent="0.25"/>
  <cols>
    <col min="1" max="1" width="9.140625" style="152"/>
    <col min="2" max="6" width="21.42578125" style="152" customWidth="1"/>
    <col min="7" max="7" width="9.140625" style="152"/>
    <col min="8" max="8" width="18.42578125" style="152" customWidth="1"/>
    <col min="9" max="9" width="11" style="152" customWidth="1"/>
    <col min="10" max="10" width="11" style="152" bestFit="1" customWidth="1"/>
    <col min="11" max="16384" width="9.140625" style="152"/>
  </cols>
  <sheetData>
    <row r="2" spans="2:11" ht="18" customHeight="1" x14ac:dyDescent="0.25">
      <c r="B2" s="762" t="s">
        <v>0</v>
      </c>
      <c r="C2" s="762"/>
      <c r="D2" s="762"/>
      <c r="E2" s="762"/>
      <c r="F2" s="762"/>
      <c r="G2" s="1"/>
    </row>
    <row r="3" spans="2:11" ht="15.75" thickBot="1" x14ac:dyDescent="0.3"/>
    <row r="4" spans="2:11" ht="30.75" thickBot="1" x14ac:dyDescent="0.3">
      <c r="B4" s="153" t="s">
        <v>2</v>
      </c>
      <c r="C4" s="979" t="s">
        <v>247</v>
      </c>
      <c r="D4" s="979"/>
      <c r="E4" s="979"/>
      <c r="F4" s="979"/>
    </row>
    <row r="5" spans="2:11" ht="15.75" thickBot="1" x14ac:dyDescent="0.3">
      <c r="B5" s="153" t="s">
        <v>3</v>
      </c>
      <c r="C5" s="1048" t="s">
        <v>4</v>
      </c>
      <c r="D5" s="981"/>
      <c r="E5" s="981"/>
      <c r="F5" s="982"/>
    </row>
    <row r="6" spans="2:11" ht="30.75" thickBot="1" x14ac:dyDescent="0.3">
      <c r="B6" s="153" t="s">
        <v>5</v>
      </c>
      <c r="C6" s="983" t="s">
        <v>6</v>
      </c>
      <c r="D6" s="984"/>
      <c r="E6" s="984"/>
      <c r="F6" s="985"/>
    </row>
    <row r="7" spans="2:11" ht="15.75" thickBot="1" x14ac:dyDescent="0.3">
      <c r="B7" s="986" t="s">
        <v>7</v>
      </c>
      <c r="C7" s="987"/>
      <c r="D7" s="987"/>
      <c r="E7" s="987"/>
      <c r="F7" s="988"/>
    </row>
    <row r="8" spans="2:11" ht="15.75" thickBot="1" x14ac:dyDescent="0.3">
      <c r="B8" s="1003" t="s">
        <v>248</v>
      </c>
      <c r="C8" s="1004"/>
      <c r="D8" s="1004"/>
      <c r="E8" s="1004"/>
      <c r="F8" s="1005"/>
    </row>
    <row r="9" spans="2:11" ht="36.75" customHeight="1" thickBot="1" x14ac:dyDescent="0.3">
      <c r="B9" s="1003"/>
      <c r="C9" s="1004"/>
      <c r="D9" s="1004"/>
      <c r="E9" s="1004"/>
      <c r="F9" s="1005"/>
    </row>
    <row r="10" spans="2:11" ht="15.75" thickBot="1" x14ac:dyDescent="0.3">
      <c r="B10" s="1003"/>
      <c r="C10" s="1004"/>
      <c r="D10" s="1004"/>
      <c r="E10" s="1004"/>
      <c r="F10" s="1005"/>
    </row>
    <row r="11" spans="2:11" ht="50.25" customHeight="1" thickBot="1" x14ac:dyDescent="0.3">
      <c r="B11" s="154" t="s">
        <v>8</v>
      </c>
      <c r="C11" s="1006" t="s">
        <v>249</v>
      </c>
      <c r="D11" s="993"/>
      <c r="E11" s="993"/>
      <c r="F11" s="994"/>
    </row>
    <row r="12" spans="2:11" ht="23.25" customHeight="1" x14ac:dyDescent="0.25">
      <c r="B12" s="998" t="s">
        <v>102</v>
      </c>
      <c r="C12" s="155">
        <v>2018</v>
      </c>
      <c r="D12" s="155">
        <v>2019</v>
      </c>
      <c r="E12" s="155">
        <v>2020</v>
      </c>
      <c r="F12" s="155">
        <v>2021</v>
      </c>
    </row>
    <row r="13" spans="2:11" ht="15.75" thickBot="1" x14ac:dyDescent="0.3">
      <c r="B13" s="999"/>
      <c r="C13" s="156" t="s">
        <v>10</v>
      </c>
      <c r="D13" s="156" t="s">
        <v>11</v>
      </c>
      <c r="E13" s="156" t="s">
        <v>11</v>
      </c>
      <c r="F13" s="156" t="s">
        <v>11</v>
      </c>
    </row>
    <row r="14" spans="2:11" ht="51" customHeight="1" thickBot="1" x14ac:dyDescent="0.3">
      <c r="B14" s="145" t="s">
        <v>250</v>
      </c>
      <c r="C14" s="157">
        <v>0.95</v>
      </c>
      <c r="D14" s="157">
        <v>0.96</v>
      </c>
      <c r="E14" s="157">
        <v>0.96</v>
      </c>
      <c r="F14" s="157">
        <v>0.96</v>
      </c>
    </row>
    <row r="15" spans="2:11" ht="30.75" thickBot="1" x14ac:dyDescent="0.3">
      <c r="B15" s="158" t="s">
        <v>12</v>
      </c>
      <c r="C15" s="1007" t="s">
        <v>251</v>
      </c>
      <c r="D15" s="1006"/>
      <c r="E15" s="1006"/>
      <c r="F15" s="1008"/>
    </row>
    <row r="16" spans="2:11" ht="23.25" customHeight="1" thickBot="1" x14ac:dyDescent="0.3">
      <c r="B16" s="983" t="s">
        <v>103</v>
      </c>
      <c r="C16" s="984"/>
      <c r="D16" s="984"/>
      <c r="E16" s="984"/>
      <c r="F16" s="985"/>
      <c r="I16" s="159"/>
      <c r="K16" s="159"/>
    </row>
    <row r="17" spans="2:12" ht="45.75" thickBot="1" x14ac:dyDescent="0.3">
      <c r="B17" s="146" t="s">
        <v>252</v>
      </c>
      <c r="C17" s="192" t="s">
        <v>253</v>
      </c>
      <c r="D17" s="192" t="s">
        <v>253</v>
      </c>
      <c r="E17" s="192" t="s">
        <v>253</v>
      </c>
      <c r="F17" s="192" t="s">
        <v>253</v>
      </c>
    </row>
    <row r="18" spans="2:12" ht="30.75" thickBot="1" x14ac:dyDescent="0.3">
      <c r="B18" s="62" t="s">
        <v>254</v>
      </c>
      <c r="C18" s="193">
        <v>0.25</v>
      </c>
      <c r="D18" s="193">
        <v>0.25</v>
      </c>
      <c r="E18" s="193">
        <v>0.25</v>
      </c>
      <c r="F18" s="193">
        <v>0.25</v>
      </c>
    </row>
    <row r="19" spans="2:12" ht="15.75" thickBot="1" x14ac:dyDescent="0.3">
      <c r="B19" s="989" t="s">
        <v>14</v>
      </c>
      <c r="C19" s="990"/>
      <c r="D19" s="990"/>
      <c r="E19" s="990"/>
      <c r="F19" s="991"/>
    </row>
    <row r="20" spans="2:12" ht="15.75" thickBot="1" x14ac:dyDescent="0.3">
      <c r="B20" s="989" t="s">
        <v>104</v>
      </c>
      <c r="C20" s="990"/>
      <c r="D20" s="990"/>
      <c r="E20" s="990"/>
      <c r="F20" s="991"/>
    </row>
    <row r="21" spans="2:12" ht="15.75" thickBot="1" x14ac:dyDescent="0.3">
      <c r="B21" s="160" t="s">
        <v>105</v>
      </c>
      <c r="C21" s="1007" t="s">
        <v>255</v>
      </c>
      <c r="D21" s="993"/>
      <c r="E21" s="993"/>
      <c r="F21" s="994"/>
    </row>
    <row r="22" spans="2:12" ht="17.25" customHeight="1" thickBot="1" x14ac:dyDescent="0.3">
      <c r="B22" s="62" t="s">
        <v>17</v>
      </c>
      <c r="C22" s="1405" t="s">
        <v>256</v>
      </c>
      <c r="D22" s="1406"/>
      <c r="E22" s="1406"/>
      <c r="F22" s="1407"/>
    </row>
    <row r="23" spans="2:12" ht="15.75" thickBot="1" x14ac:dyDescent="0.3">
      <c r="B23" s="62" t="s">
        <v>18</v>
      </c>
      <c r="C23" s="995" t="s">
        <v>257</v>
      </c>
      <c r="D23" s="996"/>
      <c r="E23" s="996"/>
      <c r="F23" s="997"/>
    </row>
    <row r="24" spans="2:12" ht="12.75" customHeight="1" x14ac:dyDescent="0.25">
      <c r="B24" s="998"/>
      <c r="C24" s="63">
        <v>2018</v>
      </c>
      <c r="D24" s="63">
        <v>2019</v>
      </c>
      <c r="E24" s="63">
        <v>2020</v>
      </c>
      <c r="F24" s="63">
        <v>2021</v>
      </c>
    </row>
    <row r="25" spans="2:12" ht="15.75" customHeight="1" thickBot="1" x14ac:dyDescent="0.3">
      <c r="B25" s="999"/>
      <c r="C25" s="64" t="s">
        <v>10</v>
      </c>
      <c r="D25" s="64" t="s">
        <v>11</v>
      </c>
      <c r="E25" s="64" t="s">
        <v>11</v>
      </c>
      <c r="F25" s="64" t="s">
        <v>11</v>
      </c>
    </row>
    <row r="26" spans="2:12" ht="15.75" thickBot="1" x14ac:dyDescent="0.3">
      <c r="B26" s="62" t="s">
        <v>19</v>
      </c>
      <c r="C26" s="194">
        <v>50</v>
      </c>
      <c r="D26" s="194">
        <v>50</v>
      </c>
      <c r="E26" s="194">
        <v>50</v>
      </c>
      <c r="F26" s="194">
        <v>50</v>
      </c>
    </row>
    <row r="27" spans="2:12" ht="30.75" thickBot="1" x14ac:dyDescent="0.3">
      <c r="B27" s="62" t="s">
        <v>20</v>
      </c>
      <c r="C27" s="161">
        <f>'[5]Formati 2 Politika Ekzistue 011'!D29</f>
        <v>33000</v>
      </c>
      <c r="D27" s="161">
        <f>'[5]Formati 2 Politika Ekzistue 011'!E29</f>
        <v>33300</v>
      </c>
      <c r="E27" s="161">
        <f>'[5]Formati 2 Politika Ekzistue 011'!F29</f>
        <v>33700</v>
      </c>
      <c r="F27" s="161">
        <f>'[5]Formati 2 Politika Ekzistue 011'!G29</f>
        <v>34700</v>
      </c>
    </row>
    <row r="28" spans="2:12" ht="30.75" thickBot="1" x14ac:dyDescent="0.3">
      <c r="B28" s="62" t="s">
        <v>21</v>
      </c>
      <c r="C28" s="161">
        <f>C27/C26</f>
        <v>660</v>
      </c>
      <c r="D28" s="161">
        <f t="shared" ref="D28:F28" si="0">D27/D26</f>
        <v>666</v>
      </c>
      <c r="E28" s="161">
        <f t="shared" si="0"/>
        <v>674</v>
      </c>
      <c r="F28" s="161">
        <f t="shared" si="0"/>
        <v>694</v>
      </c>
    </row>
    <row r="29" spans="2:12" ht="15.75" thickBot="1" x14ac:dyDescent="0.3">
      <c r="B29" s="62" t="s">
        <v>22</v>
      </c>
      <c r="C29" s="145" t="s">
        <v>23</v>
      </c>
      <c r="D29" s="162">
        <f>D26/C26-1</f>
        <v>0</v>
      </c>
      <c r="E29" s="162">
        <f t="shared" ref="E29:F31" si="1">E26/D26-1</f>
        <v>0</v>
      </c>
      <c r="F29" s="162">
        <f t="shared" si="1"/>
        <v>0</v>
      </c>
      <c r="H29" s="163"/>
      <c r="I29" s="163"/>
      <c r="J29" s="163"/>
      <c r="K29" s="163"/>
      <c r="L29" s="163"/>
    </row>
    <row r="30" spans="2:12" ht="30.75" thickBot="1" x14ac:dyDescent="0.3">
      <c r="B30" s="62" t="s">
        <v>24</v>
      </c>
      <c r="C30" s="145" t="s">
        <v>23</v>
      </c>
      <c r="D30" s="162">
        <f>D27/C27-1</f>
        <v>9.0909090909090384E-3</v>
      </c>
      <c r="E30" s="162">
        <f t="shared" si="1"/>
        <v>1.2012012012011963E-2</v>
      </c>
      <c r="F30" s="162">
        <f t="shared" si="1"/>
        <v>2.9673590504450953E-2</v>
      </c>
      <c r="H30" s="87"/>
    </row>
    <row r="31" spans="2:12" ht="30.75" thickBot="1" x14ac:dyDescent="0.3">
      <c r="B31" s="62" t="s">
        <v>25</v>
      </c>
      <c r="C31" s="145" t="s">
        <v>23</v>
      </c>
      <c r="D31" s="162">
        <f>D28/C28-1</f>
        <v>9.0909090909090384E-3</v>
      </c>
      <c r="E31" s="162">
        <f t="shared" si="1"/>
        <v>1.2012012012011963E-2</v>
      </c>
      <c r="F31" s="162">
        <f t="shared" si="1"/>
        <v>2.9673590504450953E-2</v>
      </c>
    </row>
    <row r="32" spans="2:12" ht="15.75" thickBot="1" x14ac:dyDescent="0.3">
      <c r="B32" s="1000" t="s">
        <v>784</v>
      </c>
      <c r="C32" s="1001"/>
      <c r="D32" s="1001"/>
      <c r="E32" s="1001"/>
      <c r="F32" s="1002"/>
      <c r="H32" s="163"/>
      <c r="I32" s="163"/>
      <c r="J32" s="163"/>
    </row>
    <row r="33" spans="2:6" ht="12.75" customHeight="1" x14ac:dyDescent="0.25">
      <c r="B33" s="998"/>
      <c r="C33" s="63">
        <v>2018</v>
      </c>
      <c r="D33" s="63">
        <v>2019</v>
      </c>
      <c r="E33" s="63">
        <v>2020</v>
      </c>
      <c r="F33" s="63">
        <v>2021</v>
      </c>
    </row>
    <row r="34" spans="2:6" ht="20.25" customHeight="1" thickBot="1" x14ac:dyDescent="0.3">
      <c r="B34" s="999"/>
      <c r="C34" s="64" t="s">
        <v>10</v>
      </c>
      <c r="D34" s="64" t="s">
        <v>11</v>
      </c>
      <c r="E34" s="64" t="s">
        <v>11</v>
      </c>
      <c r="F34" s="64" t="s">
        <v>11</v>
      </c>
    </row>
    <row r="35" spans="2:6" ht="15.75" thickBot="1" x14ac:dyDescent="0.3">
      <c r="B35" s="65" t="s">
        <v>26</v>
      </c>
      <c r="C35" s="164"/>
      <c r="D35" s="164"/>
      <c r="E35" s="164"/>
      <c r="F35" s="164"/>
    </row>
    <row r="36" spans="2:6" ht="45.75" thickBot="1" x14ac:dyDescent="0.3">
      <c r="B36" s="65" t="s">
        <v>28</v>
      </c>
      <c r="C36" s="164"/>
      <c r="D36" s="164"/>
      <c r="E36" s="164"/>
      <c r="F36" s="164"/>
    </row>
    <row r="37" spans="2:6" ht="30.75" thickBot="1" x14ac:dyDescent="0.3">
      <c r="B37" s="65" t="s">
        <v>30</v>
      </c>
      <c r="C37" s="165">
        <f>'[5]Formati 2 Politika Ekzistue 011'!D43</f>
        <v>33000</v>
      </c>
      <c r="D37" s="165">
        <f>'[5]Formati 2 Politika Ekzistue 011'!E43</f>
        <v>33300</v>
      </c>
      <c r="E37" s="165">
        <f>'[5]Formati 2 Politika Ekzistue 011'!F43</f>
        <v>33700</v>
      </c>
      <c r="F37" s="165">
        <f>'[5]Formati 2 Politika Ekzistue 011'!G43</f>
        <v>34700</v>
      </c>
    </row>
    <row r="38" spans="2:6" ht="15.75" thickBot="1" x14ac:dyDescent="0.3">
      <c r="B38" s="65" t="s">
        <v>32</v>
      </c>
      <c r="C38" s="165"/>
      <c r="D38" s="164"/>
      <c r="E38" s="164"/>
      <c r="F38" s="164"/>
    </row>
    <row r="39" spans="2:6" ht="30.75" thickBot="1" x14ac:dyDescent="0.3">
      <c r="B39" s="65" t="s">
        <v>34</v>
      </c>
      <c r="C39" s="165"/>
      <c r="D39" s="164"/>
      <c r="E39" s="164"/>
      <c r="F39" s="164"/>
    </row>
    <row r="40" spans="2:6" ht="30.75" thickBot="1" x14ac:dyDescent="0.3">
      <c r="B40" s="65" t="s">
        <v>36</v>
      </c>
      <c r="C40" s="165"/>
      <c r="D40" s="164"/>
      <c r="E40" s="164"/>
      <c r="F40" s="164"/>
    </row>
    <row r="41" spans="2:6" ht="30.75" thickBot="1" x14ac:dyDescent="0.3">
      <c r="B41" s="65" t="s">
        <v>38</v>
      </c>
      <c r="C41" s="165"/>
      <c r="D41" s="164"/>
      <c r="E41" s="164"/>
      <c r="F41" s="164"/>
    </row>
    <row r="42" spans="2:6" ht="30.75" thickBot="1" x14ac:dyDescent="0.3">
      <c r="B42" s="66" t="s">
        <v>40</v>
      </c>
      <c r="C42" s="165">
        <f>C41+C40+C39+C38+C37+C36+C35</f>
        <v>33000</v>
      </c>
      <c r="D42" s="165">
        <f>D41+D40+D39+D38+D37+D36+D35</f>
        <v>33300</v>
      </c>
      <c r="E42" s="165">
        <f>E41+E40+E39+E38+E37+E36+E35</f>
        <v>33700</v>
      </c>
      <c r="F42" s="165">
        <f>F41+F40+F39+F38+F37+F36+F35</f>
        <v>34700</v>
      </c>
    </row>
    <row r="43" spans="2:6" ht="15.75" thickBot="1" x14ac:dyDescent="0.3">
      <c r="B43" s="166" t="s">
        <v>41</v>
      </c>
      <c r="C43" s="167">
        <f>IF(C42-C27=0,0,"Error")</f>
        <v>0</v>
      </c>
      <c r="D43" s="167">
        <f>IF(D42-D27=0,0,"Error")</f>
        <v>0</v>
      </c>
      <c r="E43" s="167">
        <f>IF(E42-E27=0,0,"Error")</f>
        <v>0</v>
      </c>
      <c r="F43" s="167">
        <f>IF(F42-F27=0,0,"Error")</f>
        <v>0</v>
      </c>
    </row>
    <row r="44" spans="2:6" ht="30.75" thickBot="1" x14ac:dyDescent="0.3">
      <c r="B44" s="195" t="s">
        <v>791</v>
      </c>
      <c r="C44" s="992" t="s">
        <v>258</v>
      </c>
      <c r="D44" s="993"/>
      <c r="E44" s="993"/>
      <c r="F44" s="994"/>
    </row>
    <row r="45" spans="2:6" ht="15.75" thickBot="1" x14ac:dyDescent="0.3">
      <c r="B45" s="62" t="s">
        <v>17</v>
      </c>
      <c r="C45" s="983" t="s">
        <v>259</v>
      </c>
      <c r="D45" s="984"/>
      <c r="E45" s="984"/>
      <c r="F45" s="985"/>
    </row>
    <row r="46" spans="2:6" ht="18.75" customHeight="1" thickBot="1" x14ac:dyDescent="0.3">
      <c r="B46" s="62" t="s">
        <v>18</v>
      </c>
      <c r="C46" s="995" t="s">
        <v>260</v>
      </c>
      <c r="D46" s="996"/>
      <c r="E46" s="996"/>
      <c r="F46" s="997"/>
    </row>
    <row r="47" spans="2:6" ht="22.5" customHeight="1" thickBot="1" x14ac:dyDescent="0.3">
      <c r="B47" s="62" t="s">
        <v>19</v>
      </c>
      <c r="C47" s="161">
        <f>'[5]Formati 2 Politika Ekzistue 011'!D66</f>
        <v>71</v>
      </c>
      <c r="D47" s="161">
        <f>'[5]Formati 2 Politika Ekzistue 011'!E66</f>
        <v>71</v>
      </c>
      <c r="E47" s="161">
        <f>'[5]Formati 2 Politika Ekzistue 011'!F66</f>
        <v>71</v>
      </c>
      <c r="F47" s="161">
        <f>'[5]Formati 2 Politika Ekzistue 011'!G66</f>
        <v>71</v>
      </c>
    </row>
    <row r="48" spans="2:6" ht="12.75" customHeight="1" x14ac:dyDescent="0.25">
      <c r="B48" s="998"/>
      <c r="C48" s="63">
        <v>2018</v>
      </c>
      <c r="D48" s="63">
        <v>2019</v>
      </c>
      <c r="E48" s="63">
        <v>2020</v>
      </c>
      <c r="F48" s="63">
        <v>2021</v>
      </c>
    </row>
    <row r="49" spans="2:7" ht="20.25" customHeight="1" thickBot="1" x14ac:dyDescent="0.3">
      <c r="B49" s="999"/>
      <c r="C49" s="64" t="s">
        <v>10</v>
      </c>
      <c r="D49" s="64" t="s">
        <v>11</v>
      </c>
      <c r="E49" s="64" t="s">
        <v>11</v>
      </c>
      <c r="F49" s="64" t="s">
        <v>11</v>
      </c>
    </row>
    <row r="50" spans="2:7" ht="30.75" thickBot="1" x14ac:dyDescent="0.3">
      <c r="B50" s="62" t="s">
        <v>20</v>
      </c>
      <c r="C50" s="161">
        <f>'[5]Formati 2 Politika Ekzistue 011'!D69</f>
        <v>92300</v>
      </c>
      <c r="D50" s="161">
        <f>D65</f>
        <v>92300</v>
      </c>
      <c r="E50" s="161">
        <f t="shared" ref="E50:F50" si="2">E65</f>
        <v>92300</v>
      </c>
      <c r="F50" s="161">
        <f t="shared" si="2"/>
        <v>92300</v>
      </c>
    </row>
    <row r="51" spans="2:7" ht="30.75" thickBot="1" x14ac:dyDescent="0.3">
      <c r="B51" s="62" t="s">
        <v>21</v>
      </c>
      <c r="C51" s="161">
        <f>C50/C47</f>
        <v>1300</v>
      </c>
      <c r="D51" s="161">
        <f>D50/D47</f>
        <v>1300</v>
      </c>
      <c r="E51" s="161">
        <f>E50/E47</f>
        <v>1300</v>
      </c>
      <c r="F51" s="161">
        <f>F50/F47</f>
        <v>1300</v>
      </c>
    </row>
    <row r="52" spans="2:7" ht="15.75" thickBot="1" x14ac:dyDescent="0.3">
      <c r="B52" s="62" t="s">
        <v>22</v>
      </c>
      <c r="C52" s="145"/>
      <c r="D52" s="162">
        <f>D47/C47-1</f>
        <v>0</v>
      </c>
      <c r="E52" s="162">
        <f>E47/D47-1</f>
        <v>0</v>
      </c>
      <c r="F52" s="162">
        <f>F47/E47-1</f>
        <v>0</v>
      </c>
    </row>
    <row r="53" spans="2:7" ht="30.75" thickBot="1" x14ac:dyDescent="0.3">
      <c r="B53" s="62" t="s">
        <v>24</v>
      </c>
      <c r="C53" s="145"/>
      <c r="D53" s="162">
        <f>D50/C50-1</f>
        <v>0</v>
      </c>
      <c r="E53" s="162">
        <f t="shared" ref="E53:F54" si="3">E50/D50-1</f>
        <v>0</v>
      </c>
      <c r="F53" s="162">
        <f t="shared" si="3"/>
        <v>0</v>
      </c>
    </row>
    <row r="54" spans="2:7" ht="30.75" thickBot="1" x14ac:dyDescent="0.3">
      <c r="B54" s="62" t="s">
        <v>25</v>
      </c>
      <c r="C54" s="145"/>
      <c r="D54" s="162">
        <f>D51/C51-1</f>
        <v>0</v>
      </c>
      <c r="E54" s="162">
        <f t="shared" si="3"/>
        <v>0</v>
      </c>
      <c r="F54" s="162">
        <f t="shared" si="3"/>
        <v>0</v>
      </c>
      <c r="G54" s="163"/>
    </row>
    <row r="55" spans="2:7" ht="24.75" customHeight="1" thickBot="1" x14ac:dyDescent="0.3">
      <c r="B55" s="1000" t="s">
        <v>792</v>
      </c>
      <c r="C55" s="1001"/>
      <c r="D55" s="1001"/>
      <c r="E55" s="1001"/>
      <c r="F55" s="1002"/>
    </row>
    <row r="56" spans="2:7" ht="12.75" customHeight="1" x14ac:dyDescent="0.25">
      <c r="B56" s="998"/>
      <c r="C56" s="63">
        <v>2018</v>
      </c>
      <c r="D56" s="63">
        <v>2019</v>
      </c>
      <c r="E56" s="63">
        <v>2020</v>
      </c>
      <c r="F56" s="63">
        <v>2021</v>
      </c>
    </row>
    <row r="57" spans="2:7" ht="18" customHeight="1" thickBot="1" x14ac:dyDescent="0.3">
      <c r="B57" s="999"/>
      <c r="C57" s="64" t="s">
        <v>10</v>
      </c>
      <c r="D57" s="64" t="s">
        <v>11</v>
      </c>
      <c r="E57" s="64" t="s">
        <v>11</v>
      </c>
      <c r="F57" s="64" t="s">
        <v>11</v>
      </c>
    </row>
    <row r="58" spans="2:7" ht="24.75" customHeight="1" thickBot="1" x14ac:dyDescent="0.3">
      <c r="B58" s="65" t="s">
        <v>26</v>
      </c>
      <c r="C58" s="164">
        <f>'[5]Formati 2 Politika Ekzistue 011'!D77</f>
        <v>78000</v>
      </c>
      <c r="D58" s="164">
        <f>C58</f>
        <v>78000</v>
      </c>
      <c r="E58" s="164">
        <f>D58</f>
        <v>78000</v>
      </c>
      <c r="F58" s="164">
        <f>E58</f>
        <v>78000</v>
      </c>
    </row>
    <row r="59" spans="2:7" ht="24.75" customHeight="1" thickBot="1" x14ac:dyDescent="0.3">
      <c r="B59" s="65" t="s">
        <v>28</v>
      </c>
      <c r="C59" s="164">
        <f>'[5]Formati 2 Politika Ekzistue 011'!D80</f>
        <v>14300</v>
      </c>
      <c r="D59" s="164">
        <f>C59</f>
        <v>14300</v>
      </c>
      <c r="E59" s="164">
        <f t="shared" ref="E59:F59" si="4">D59</f>
        <v>14300</v>
      </c>
      <c r="F59" s="164">
        <f t="shared" si="4"/>
        <v>14300</v>
      </c>
    </row>
    <row r="60" spans="2:7" ht="24.75" customHeight="1" thickBot="1" x14ac:dyDescent="0.3">
      <c r="B60" s="65" t="s">
        <v>30</v>
      </c>
      <c r="C60" s="165"/>
      <c r="D60" s="164"/>
      <c r="E60" s="164"/>
      <c r="F60" s="164"/>
    </row>
    <row r="61" spans="2:7" ht="15.75" thickBot="1" x14ac:dyDescent="0.3">
      <c r="B61" s="65" t="s">
        <v>32</v>
      </c>
      <c r="C61" s="165"/>
      <c r="D61" s="164"/>
      <c r="E61" s="164"/>
      <c r="F61" s="164"/>
    </row>
    <row r="62" spans="2:7" ht="30.75" thickBot="1" x14ac:dyDescent="0.3">
      <c r="B62" s="65" t="s">
        <v>34</v>
      </c>
      <c r="C62" s="165"/>
      <c r="D62" s="164"/>
      <c r="E62" s="164"/>
      <c r="F62" s="164"/>
    </row>
    <row r="63" spans="2:7" ht="30.75" thickBot="1" x14ac:dyDescent="0.3">
      <c r="B63" s="65" t="s">
        <v>36</v>
      </c>
      <c r="C63" s="165"/>
      <c r="D63" s="164"/>
      <c r="E63" s="164"/>
      <c r="F63" s="164"/>
    </row>
    <row r="64" spans="2:7" ht="30.75" thickBot="1" x14ac:dyDescent="0.3">
      <c r="B64" s="65" t="s">
        <v>38</v>
      </c>
      <c r="C64" s="165"/>
      <c r="D64" s="164"/>
      <c r="E64" s="164"/>
      <c r="F64" s="164"/>
    </row>
    <row r="65" spans="2:12" ht="30.75" thickBot="1" x14ac:dyDescent="0.3">
      <c r="B65" s="196" t="s">
        <v>74</v>
      </c>
      <c r="C65" s="165">
        <f>C64+C63+C62+C61+C60+C59+C58</f>
        <v>92300</v>
      </c>
      <c r="D65" s="165">
        <f>D64+D63+D62+D61+D60+D59+D58</f>
        <v>92300</v>
      </c>
      <c r="E65" s="165">
        <f>E64+E63+E62+E61+E60+E59+E58</f>
        <v>92300</v>
      </c>
      <c r="F65" s="165">
        <f>F64+F63+F62+F61+F60+F59+F58</f>
        <v>92300</v>
      </c>
    </row>
    <row r="66" spans="2:12" ht="17.25" customHeight="1" thickBot="1" x14ac:dyDescent="0.3">
      <c r="B66" s="166" t="s">
        <v>41</v>
      </c>
      <c r="C66" s="167">
        <f>IF(C65-C50=0,0,"Error")</f>
        <v>0</v>
      </c>
      <c r="D66" s="167">
        <f>IF(D65-D50=0,0,"Error")</f>
        <v>0</v>
      </c>
      <c r="E66" s="167">
        <f>IF(E65-E50=0,0,"Error")</f>
        <v>0</v>
      </c>
      <c r="F66" s="167">
        <f>IF(F65-F50=0,0,"Error")</f>
        <v>0</v>
      </c>
    </row>
    <row r="67" spans="2:12" ht="15.75" thickBot="1" x14ac:dyDescent="0.3">
      <c r="B67" s="989" t="s">
        <v>63</v>
      </c>
      <c r="C67" s="990"/>
      <c r="D67" s="990"/>
      <c r="E67" s="990"/>
      <c r="F67" s="991"/>
    </row>
    <row r="68" spans="2:12" ht="15.75" thickBot="1" x14ac:dyDescent="0.3">
      <c r="B68" s="989" t="s">
        <v>56</v>
      </c>
      <c r="C68" s="990"/>
      <c r="D68" s="990"/>
      <c r="E68" s="990"/>
      <c r="F68" s="991"/>
    </row>
    <row r="69" spans="2:12" ht="30.75" thickBot="1" x14ac:dyDescent="0.3">
      <c r="B69" s="67" t="s">
        <v>79</v>
      </c>
      <c r="C69" s="1009" t="s">
        <v>130</v>
      </c>
      <c r="D69" s="1010"/>
      <c r="E69" s="1010"/>
      <c r="F69" s="1011"/>
    </row>
    <row r="70" spans="2:12" ht="15.75" thickBot="1" x14ac:dyDescent="0.3">
      <c r="B70" s="160" t="s">
        <v>16</v>
      </c>
      <c r="C70" s="992" t="s">
        <v>261</v>
      </c>
      <c r="D70" s="993"/>
      <c r="E70" s="993"/>
      <c r="F70" s="994"/>
    </row>
    <row r="71" spans="2:12" ht="17.25" customHeight="1" thickBot="1" x14ac:dyDescent="0.3">
      <c r="B71" s="62" t="s">
        <v>17</v>
      </c>
      <c r="C71" s="983" t="s">
        <v>262</v>
      </c>
      <c r="D71" s="984"/>
      <c r="E71" s="984"/>
      <c r="F71" s="985"/>
    </row>
    <row r="72" spans="2:12" ht="15.75" thickBot="1" x14ac:dyDescent="0.3">
      <c r="B72" s="62" t="s">
        <v>18</v>
      </c>
      <c r="C72" s="995" t="s">
        <v>73</v>
      </c>
      <c r="D72" s="996"/>
      <c r="E72" s="996"/>
      <c r="F72" s="997"/>
    </row>
    <row r="73" spans="2:12" ht="12.75" customHeight="1" x14ac:dyDescent="0.25">
      <c r="B73" s="998"/>
      <c r="C73" s="63">
        <v>2018</v>
      </c>
      <c r="D73" s="63">
        <v>2019</v>
      </c>
      <c r="E73" s="63">
        <v>2020</v>
      </c>
      <c r="F73" s="63">
        <v>2021</v>
      </c>
    </row>
    <row r="74" spans="2:12" ht="24.75" customHeight="1" thickBot="1" x14ac:dyDescent="0.3">
      <c r="B74" s="999"/>
      <c r="C74" s="64" t="s">
        <v>10</v>
      </c>
      <c r="D74" s="64" t="s">
        <v>11</v>
      </c>
      <c r="E74" s="64" t="s">
        <v>11</v>
      </c>
      <c r="F74" s="64" t="s">
        <v>11</v>
      </c>
    </row>
    <row r="75" spans="2:12" ht="15.75" thickBot="1" x14ac:dyDescent="0.3">
      <c r="B75" s="62" t="s">
        <v>19</v>
      </c>
      <c r="C75" s="161">
        <f>'[5]Formati 2 Politika Ekzistue 011'!D111</f>
        <v>10</v>
      </c>
      <c r="D75" s="161">
        <f>'[5]Formati 2 Politika Ekzistue 011'!E111</f>
        <v>10</v>
      </c>
      <c r="E75" s="161">
        <f>'[5]Formati 2 Politika Ekzistue 011'!F111</f>
        <v>10</v>
      </c>
      <c r="F75" s="161">
        <f>'[5]Formati 2 Politika Ekzistue 011'!G111</f>
        <v>10</v>
      </c>
    </row>
    <row r="76" spans="2:12" ht="30.75" thickBot="1" x14ac:dyDescent="0.3">
      <c r="B76" s="62" t="s">
        <v>20</v>
      </c>
      <c r="C76" s="161">
        <f>'[5]Formati 2 Politika Ekzistue 011'!D112</f>
        <v>3000</v>
      </c>
      <c r="D76" s="161">
        <f>'[5]Formati 2 Politika Ekzistue 011'!E112</f>
        <v>3000</v>
      </c>
      <c r="E76" s="161">
        <f>'[5]Formati 2 Politika Ekzistue 011'!F112</f>
        <v>3000</v>
      </c>
      <c r="F76" s="161">
        <f>'[5]Formati 2 Politika Ekzistue 011'!G112</f>
        <v>3000</v>
      </c>
    </row>
    <row r="77" spans="2:12" ht="30.75" thickBot="1" x14ac:dyDescent="0.3">
      <c r="B77" s="62" t="s">
        <v>21</v>
      </c>
      <c r="C77" s="161">
        <f>C76/C75</f>
        <v>300</v>
      </c>
      <c r="D77" s="161">
        <f t="shared" ref="D77:F77" si="5">D76/D75</f>
        <v>300</v>
      </c>
      <c r="E77" s="161">
        <f t="shared" si="5"/>
        <v>300</v>
      </c>
      <c r="F77" s="161">
        <f t="shared" si="5"/>
        <v>300</v>
      </c>
    </row>
    <row r="78" spans="2:12" ht="15.75" thickBot="1" x14ac:dyDescent="0.3">
      <c r="B78" s="62" t="s">
        <v>22</v>
      </c>
      <c r="C78" s="145" t="s">
        <v>23</v>
      </c>
      <c r="D78" s="162">
        <f>D75/C75-1</f>
        <v>0</v>
      </c>
      <c r="E78" s="162">
        <f t="shared" ref="E78:F80" si="6">E75/D75-1</f>
        <v>0</v>
      </c>
      <c r="F78" s="162">
        <f t="shared" si="6"/>
        <v>0</v>
      </c>
      <c r="H78" s="163"/>
      <c r="I78" s="163"/>
      <c r="J78" s="163"/>
      <c r="K78" s="163"/>
      <c r="L78" s="163"/>
    </row>
    <row r="79" spans="2:12" ht="30.75" thickBot="1" x14ac:dyDescent="0.3">
      <c r="B79" s="62" t="s">
        <v>24</v>
      </c>
      <c r="C79" s="145" t="s">
        <v>23</v>
      </c>
      <c r="D79" s="162">
        <f>D76/C76-1</f>
        <v>0</v>
      </c>
      <c r="E79" s="162">
        <f t="shared" si="6"/>
        <v>0</v>
      </c>
      <c r="F79" s="162">
        <f t="shared" si="6"/>
        <v>0</v>
      </c>
    </row>
    <row r="80" spans="2:12" ht="30.75" thickBot="1" x14ac:dyDescent="0.3">
      <c r="B80" s="62" t="s">
        <v>25</v>
      </c>
      <c r="C80" s="145" t="s">
        <v>23</v>
      </c>
      <c r="D80" s="162">
        <f>D77/C77-1</f>
        <v>0</v>
      </c>
      <c r="E80" s="162">
        <f t="shared" si="6"/>
        <v>0</v>
      </c>
      <c r="F80" s="162">
        <f t="shared" si="6"/>
        <v>0</v>
      </c>
    </row>
    <row r="81" spans="2:6" ht="15.75" thickBot="1" x14ac:dyDescent="0.3">
      <c r="B81" s="1000" t="s">
        <v>784</v>
      </c>
      <c r="C81" s="1001"/>
      <c r="D81" s="1001"/>
      <c r="E81" s="1001"/>
      <c r="F81" s="1002"/>
    </row>
    <row r="82" spans="2:6" ht="12.75" customHeight="1" x14ac:dyDescent="0.25">
      <c r="B82" s="998"/>
      <c r="C82" s="63">
        <v>2018</v>
      </c>
      <c r="D82" s="63">
        <v>2019</v>
      </c>
      <c r="E82" s="63">
        <v>2020</v>
      </c>
      <c r="F82" s="63">
        <v>2021</v>
      </c>
    </row>
    <row r="83" spans="2:6" ht="21.75" customHeight="1" thickBot="1" x14ac:dyDescent="0.3">
      <c r="B83" s="999"/>
      <c r="C83" s="64" t="s">
        <v>10</v>
      </c>
      <c r="D83" s="64" t="s">
        <v>11</v>
      </c>
      <c r="E83" s="64" t="s">
        <v>11</v>
      </c>
      <c r="F83" s="64" t="s">
        <v>11</v>
      </c>
    </row>
    <row r="84" spans="2:6" ht="30.75" thickBot="1" x14ac:dyDescent="0.3">
      <c r="B84" s="65" t="s">
        <v>58</v>
      </c>
      <c r="C84" s="164"/>
      <c r="D84" s="164"/>
      <c r="E84" s="164"/>
      <c r="F84" s="164"/>
    </row>
    <row r="85" spans="2:6" ht="30.75" thickBot="1" x14ac:dyDescent="0.3">
      <c r="B85" s="65" t="s">
        <v>59</v>
      </c>
      <c r="C85" s="165">
        <f>'[5]Formati 2 Politika Ekzistue 011'!D121</f>
        <v>3000</v>
      </c>
      <c r="D85" s="165">
        <f>'[5]Formati 2 Politika Ekzistue 011'!E121</f>
        <v>3000</v>
      </c>
      <c r="E85" s="165">
        <f>'[5]Formati 2 Politika Ekzistue 011'!F121</f>
        <v>3000</v>
      </c>
      <c r="F85" s="165">
        <f>'[5]Formati 2 Politika Ekzistue 011'!G121</f>
        <v>3000</v>
      </c>
    </row>
    <row r="86" spans="2:6" ht="30.75" thickBot="1" x14ac:dyDescent="0.3">
      <c r="B86" s="66" t="s">
        <v>40</v>
      </c>
      <c r="C86" s="165">
        <f>C85+C84</f>
        <v>3000</v>
      </c>
      <c r="D86" s="165">
        <f t="shared" ref="D86:F86" si="7">D85+D84</f>
        <v>3000</v>
      </c>
      <c r="E86" s="165">
        <f t="shared" si="7"/>
        <v>3000</v>
      </c>
      <c r="F86" s="165">
        <f t="shared" si="7"/>
        <v>3000</v>
      </c>
    </row>
    <row r="87" spans="2:6" x14ac:dyDescent="0.25">
      <c r="B87" s="1015" t="s">
        <v>60</v>
      </c>
      <c r="C87" s="1036"/>
      <c r="D87" s="1037"/>
      <c r="E87" s="1037"/>
      <c r="F87" s="1038"/>
    </row>
    <row r="88" spans="2:6" x14ac:dyDescent="0.25">
      <c r="B88" s="1016"/>
      <c r="C88" s="1039"/>
      <c r="D88" s="1040"/>
      <c r="E88" s="1040"/>
      <c r="F88" s="1041"/>
    </row>
    <row r="89" spans="2:6" ht="15.75" thickBot="1" x14ac:dyDescent="0.3">
      <c r="B89" s="1017"/>
      <c r="C89" s="1042"/>
      <c r="D89" s="1043"/>
      <c r="E89" s="1043"/>
      <c r="F89" s="1044"/>
    </row>
    <row r="90" spans="2:6" ht="30.75" thickBot="1" x14ac:dyDescent="0.3">
      <c r="B90" s="67" t="s">
        <v>61</v>
      </c>
      <c r="C90" s="1009" t="s">
        <v>130</v>
      </c>
      <c r="D90" s="1010"/>
      <c r="E90" s="1010"/>
      <c r="F90" s="1011"/>
    </row>
    <row r="91" spans="2:6" ht="30.75" thickBot="1" x14ac:dyDescent="0.3">
      <c r="B91" s="160" t="s">
        <v>129</v>
      </c>
      <c r="C91" s="992" t="s">
        <v>106</v>
      </c>
      <c r="D91" s="993"/>
      <c r="E91" s="993"/>
      <c r="F91" s="994"/>
    </row>
    <row r="92" spans="2:6" ht="17.25" customHeight="1" thickBot="1" x14ac:dyDescent="0.3">
      <c r="B92" s="62" t="s">
        <v>17</v>
      </c>
      <c r="C92" s="983" t="s">
        <v>106</v>
      </c>
      <c r="D92" s="984"/>
      <c r="E92" s="984"/>
      <c r="F92" s="985"/>
    </row>
    <row r="93" spans="2:6" ht="15.75" thickBot="1" x14ac:dyDescent="0.3">
      <c r="B93" s="62" t="s">
        <v>18</v>
      </c>
      <c r="C93" s="995" t="s">
        <v>106</v>
      </c>
      <c r="D93" s="996"/>
      <c r="E93" s="996"/>
      <c r="F93" s="997"/>
    </row>
    <row r="94" spans="2:6" ht="12.75" customHeight="1" x14ac:dyDescent="0.25">
      <c r="B94" s="998"/>
      <c r="C94" s="63">
        <v>2018</v>
      </c>
      <c r="D94" s="63">
        <v>2019</v>
      </c>
      <c r="E94" s="63">
        <v>2020</v>
      </c>
      <c r="F94" s="63">
        <v>2021</v>
      </c>
    </row>
    <row r="95" spans="2:6" ht="27" customHeight="1" thickBot="1" x14ac:dyDescent="0.3">
      <c r="B95" s="999"/>
      <c r="C95" s="64" t="s">
        <v>10</v>
      </c>
      <c r="D95" s="64" t="s">
        <v>11</v>
      </c>
      <c r="E95" s="64" t="s">
        <v>11</v>
      </c>
      <c r="F95" s="64" t="s">
        <v>11</v>
      </c>
    </row>
    <row r="96" spans="2:6" ht="15.75" thickBot="1" x14ac:dyDescent="0.3">
      <c r="B96" s="62" t="s">
        <v>19</v>
      </c>
      <c r="C96" s="161"/>
      <c r="D96" s="161"/>
      <c r="E96" s="161"/>
      <c r="F96" s="161"/>
    </row>
    <row r="97" spans="2:12" ht="30.75" thickBot="1" x14ac:dyDescent="0.3">
      <c r="B97" s="62" t="s">
        <v>20</v>
      </c>
      <c r="C97" s="161"/>
      <c r="D97" s="161"/>
      <c r="E97" s="161"/>
      <c r="F97" s="161"/>
    </row>
    <row r="98" spans="2:12" ht="30.75" thickBot="1" x14ac:dyDescent="0.3">
      <c r="B98" s="62" t="s">
        <v>21</v>
      </c>
      <c r="C98" s="161" t="e">
        <f>C97/C96</f>
        <v>#DIV/0!</v>
      </c>
      <c r="D98" s="161" t="e">
        <f t="shared" ref="D98:F98" si="8">D97/D96</f>
        <v>#DIV/0!</v>
      </c>
      <c r="E98" s="161" t="e">
        <f t="shared" si="8"/>
        <v>#DIV/0!</v>
      </c>
      <c r="F98" s="161" t="e">
        <f t="shared" si="8"/>
        <v>#DIV/0!</v>
      </c>
    </row>
    <row r="99" spans="2:12" ht="15.75" thickBot="1" x14ac:dyDescent="0.3">
      <c r="B99" s="62" t="s">
        <v>22</v>
      </c>
      <c r="C99" s="145" t="s">
        <v>23</v>
      </c>
      <c r="D99" s="162" t="e">
        <f>D96/C96-1</f>
        <v>#DIV/0!</v>
      </c>
      <c r="E99" s="162" t="e">
        <f t="shared" ref="E99:F101" si="9">E96/D96-1</f>
        <v>#DIV/0!</v>
      </c>
      <c r="F99" s="162" t="e">
        <f t="shared" si="9"/>
        <v>#DIV/0!</v>
      </c>
      <c r="H99" s="163"/>
      <c r="I99" s="163"/>
      <c r="J99" s="163"/>
      <c r="K99" s="163"/>
      <c r="L99" s="163"/>
    </row>
    <row r="100" spans="2:12" ht="30.75" thickBot="1" x14ac:dyDescent="0.3">
      <c r="B100" s="62" t="s">
        <v>24</v>
      </c>
      <c r="C100" s="145" t="s">
        <v>23</v>
      </c>
      <c r="D100" s="162" t="e">
        <f>D97/C97-1</f>
        <v>#DIV/0!</v>
      </c>
      <c r="E100" s="162" t="e">
        <f t="shared" si="9"/>
        <v>#DIV/0!</v>
      </c>
      <c r="F100" s="162" t="e">
        <f t="shared" si="9"/>
        <v>#DIV/0!</v>
      </c>
    </row>
    <row r="101" spans="2:12" ht="30.75" thickBot="1" x14ac:dyDescent="0.3">
      <c r="B101" s="62" t="s">
        <v>25</v>
      </c>
      <c r="C101" s="145" t="s">
        <v>23</v>
      </c>
      <c r="D101" s="162" t="e">
        <f>D98/C98-1</f>
        <v>#DIV/0!</v>
      </c>
      <c r="E101" s="162" t="e">
        <f t="shared" si="9"/>
        <v>#DIV/0!</v>
      </c>
      <c r="F101" s="162" t="e">
        <f t="shared" si="9"/>
        <v>#DIV/0!</v>
      </c>
    </row>
    <row r="102" spans="2:12" ht="15.75" thickBot="1" x14ac:dyDescent="0.3">
      <c r="B102" s="1000" t="s">
        <v>793</v>
      </c>
      <c r="C102" s="1001"/>
      <c r="D102" s="1001"/>
      <c r="E102" s="1001"/>
      <c r="F102" s="1002"/>
    </row>
    <row r="103" spans="2:12" ht="12.75" customHeight="1" x14ac:dyDescent="0.25">
      <c r="B103" s="998"/>
      <c r="C103" s="63">
        <v>2018</v>
      </c>
      <c r="D103" s="63">
        <v>2019</v>
      </c>
      <c r="E103" s="63">
        <v>2020</v>
      </c>
      <c r="F103" s="63">
        <v>2021</v>
      </c>
    </row>
    <row r="104" spans="2:12" ht="24.75" customHeight="1" thickBot="1" x14ac:dyDescent="0.3">
      <c r="B104" s="999"/>
      <c r="C104" s="64" t="s">
        <v>10</v>
      </c>
      <c r="D104" s="64" t="s">
        <v>11</v>
      </c>
      <c r="E104" s="64" t="s">
        <v>11</v>
      </c>
      <c r="F104" s="64" t="s">
        <v>11</v>
      </c>
    </row>
    <row r="105" spans="2:12" ht="30.75" thickBot="1" x14ac:dyDescent="0.3">
      <c r="B105" s="65" t="s">
        <v>58</v>
      </c>
      <c r="C105" s="164"/>
      <c r="D105" s="164"/>
      <c r="E105" s="164"/>
      <c r="F105" s="164"/>
    </row>
    <row r="106" spans="2:12" ht="30.75" thickBot="1" x14ac:dyDescent="0.3">
      <c r="B106" s="65" t="s">
        <v>59</v>
      </c>
      <c r="C106" s="165"/>
      <c r="D106" s="164"/>
      <c r="E106" s="164"/>
      <c r="F106" s="164"/>
    </row>
    <row r="107" spans="2:12" ht="30.75" thickBot="1" x14ac:dyDescent="0.3">
      <c r="B107" s="66" t="s">
        <v>74</v>
      </c>
      <c r="C107" s="165">
        <f>C106+C105</f>
        <v>0</v>
      </c>
      <c r="D107" s="165">
        <f t="shared" ref="D107:F107" si="10">D106+D105</f>
        <v>0</v>
      </c>
      <c r="E107" s="165">
        <f t="shared" si="10"/>
        <v>0</v>
      </c>
      <c r="F107" s="165">
        <f t="shared" si="10"/>
        <v>0</v>
      </c>
    </row>
    <row r="108" spans="2:12" ht="15.75" thickBot="1" x14ac:dyDescent="0.3">
      <c r="B108" s="989" t="s">
        <v>63</v>
      </c>
      <c r="C108" s="990"/>
      <c r="D108" s="990"/>
      <c r="E108" s="990"/>
      <c r="F108" s="991"/>
    </row>
    <row r="109" spans="2:12" ht="15.75" thickBot="1" x14ac:dyDescent="0.3">
      <c r="B109" s="989" t="s">
        <v>64</v>
      </c>
      <c r="C109" s="990"/>
      <c r="D109" s="990"/>
      <c r="E109" s="990"/>
      <c r="F109" s="991"/>
    </row>
    <row r="110" spans="2:12" ht="30.75" thickBot="1" x14ac:dyDescent="0.3">
      <c r="B110" s="67" t="s">
        <v>61</v>
      </c>
      <c r="C110" s="1009" t="s">
        <v>130</v>
      </c>
      <c r="D110" s="1010"/>
      <c r="E110" s="1010"/>
      <c r="F110" s="1011"/>
    </row>
    <row r="111" spans="2:12" ht="15.75" thickBot="1" x14ac:dyDescent="0.3">
      <c r="B111" s="160" t="s">
        <v>16</v>
      </c>
      <c r="C111" s="992" t="s">
        <v>106</v>
      </c>
      <c r="D111" s="993"/>
      <c r="E111" s="993"/>
      <c r="F111" s="994"/>
    </row>
    <row r="112" spans="2:12" ht="17.25" customHeight="1" thickBot="1" x14ac:dyDescent="0.3">
      <c r="B112" s="62" t="s">
        <v>17</v>
      </c>
      <c r="C112" s="983" t="s">
        <v>106</v>
      </c>
      <c r="D112" s="984"/>
      <c r="E112" s="984"/>
      <c r="F112" s="985"/>
    </row>
    <row r="113" spans="2:12" ht="15.75" thickBot="1" x14ac:dyDescent="0.3">
      <c r="B113" s="62" t="s">
        <v>18</v>
      </c>
      <c r="C113" s="995" t="s">
        <v>106</v>
      </c>
      <c r="D113" s="996"/>
      <c r="E113" s="996"/>
      <c r="F113" s="997"/>
    </row>
    <row r="114" spans="2:12" ht="12.75" customHeight="1" x14ac:dyDescent="0.25">
      <c r="B114" s="998"/>
      <c r="C114" s="63">
        <v>2018</v>
      </c>
      <c r="D114" s="63">
        <v>2019</v>
      </c>
      <c r="E114" s="63">
        <v>2020</v>
      </c>
      <c r="F114" s="63">
        <v>2021</v>
      </c>
    </row>
    <row r="115" spans="2:12" ht="9" customHeight="1" thickBot="1" x14ac:dyDescent="0.3">
      <c r="B115" s="999"/>
      <c r="C115" s="64" t="s">
        <v>10</v>
      </c>
      <c r="D115" s="64" t="s">
        <v>11</v>
      </c>
      <c r="E115" s="64" t="s">
        <v>11</v>
      </c>
      <c r="F115" s="64" t="s">
        <v>11</v>
      </c>
    </row>
    <row r="116" spans="2:12" ht="15.75" thickBot="1" x14ac:dyDescent="0.3">
      <c r="B116" s="62" t="s">
        <v>19</v>
      </c>
      <c r="C116" s="161"/>
      <c r="D116" s="161"/>
      <c r="E116" s="161"/>
      <c r="F116" s="161"/>
    </row>
    <row r="117" spans="2:12" ht="30.75" thickBot="1" x14ac:dyDescent="0.3">
      <c r="B117" s="62" t="s">
        <v>20</v>
      </c>
      <c r="C117" s="161"/>
      <c r="D117" s="161"/>
      <c r="E117" s="161"/>
      <c r="F117" s="161"/>
    </row>
    <row r="118" spans="2:12" ht="30.75" thickBot="1" x14ac:dyDescent="0.3">
      <c r="B118" s="62" t="s">
        <v>21</v>
      </c>
      <c r="C118" s="161" t="e">
        <f>C117/C116</f>
        <v>#DIV/0!</v>
      </c>
      <c r="D118" s="161" t="e">
        <f t="shared" ref="D118:F118" si="11">D117/D116</f>
        <v>#DIV/0!</v>
      </c>
      <c r="E118" s="161" t="e">
        <f t="shared" si="11"/>
        <v>#DIV/0!</v>
      </c>
      <c r="F118" s="161" t="e">
        <f t="shared" si="11"/>
        <v>#DIV/0!</v>
      </c>
    </row>
    <row r="119" spans="2:12" ht="15.75" thickBot="1" x14ac:dyDescent="0.3">
      <c r="B119" s="62" t="s">
        <v>22</v>
      </c>
      <c r="C119" s="145" t="s">
        <v>23</v>
      </c>
      <c r="D119" s="162" t="e">
        <f>D116/C116-1</f>
        <v>#DIV/0!</v>
      </c>
      <c r="E119" s="162" t="e">
        <f t="shared" ref="E119:F121" si="12">E116/D116-1</f>
        <v>#DIV/0!</v>
      </c>
      <c r="F119" s="162" t="e">
        <f t="shared" si="12"/>
        <v>#DIV/0!</v>
      </c>
      <c r="H119" s="163"/>
      <c r="I119" s="163"/>
      <c r="J119" s="163"/>
      <c r="K119" s="163"/>
      <c r="L119" s="163"/>
    </row>
    <row r="120" spans="2:12" ht="30.75" thickBot="1" x14ac:dyDescent="0.3">
      <c r="B120" s="62" t="s">
        <v>24</v>
      </c>
      <c r="C120" s="145" t="s">
        <v>23</v>
      </c>
      <c r="D120" s="162" t="e">
        <f>D117/C117-1</f>
        <v>#DIV/0!</v>
      </c>
      <c r="E120" s="162" t="e">
        <f t="shared" si="12"/>
        <v>#DIV/0!</v>
      </c>
      <c r="F120" s="162" t="e">
        <f t="shared" si="12"/>
        <v>#DIV/0!</v>
      </c>
    </row>
    <row r="121" spans="2:12" ht="30.75" thickBot="1" x14ac:dyDescent="0.3">
      <c r="B121" s="62" t="s">
        <v>25</v>
      </c>
      <c r="C121" s="145" t="s">
        <v>23</v>
      </c>
      <c r="D121" s="162" t="e">
        <f>D118/C118-1</f>
        <v>#DIV/0!</v>
      </c>
      <c r="E121" s="162" t="e">
        <f t="shared" si="12"/>
        <v>#DIV/0!</v>
      </c>
      <c r="F121" s="162" t="e">
        <f t="shared" si="12"/>
        <v>#DIV/0!</v>
      </c>
    </row>
    <row r="122" spans="2:12" ht="15.75" thickBot="1" x14ac:dyDescent="0.3">
      <c r="B122" s="1000" t="s">
        <v>784</v>
      </c>
      <c r="C122" s="1001"/>
      <c r="D122" s="1001"/>
      <c r="E122" s="1001"/>
      <c r="F122" s="1002"/>
    </row>
    <row r="123" spans="2:12" ht="12.75" customHeight="1" x14ac:dyDescent="0.25">
      <c r="B123" s="998"/>
      <c r="C123" s="63">
        <v>2018</v>
      </c>
      <c r="D123" s="63">
        <v>2019</v>
      </c>
      <c r="E123" s="63">
        <v>2020</v>
      </c>
      <c r="F123" s="63">
        <v>2021</v>
      </c>
    </row>
    <row r="124" spans="2:12" ht="9" customHeight="1" thickBot="1" x14ac:dyDescent="0.3">
      <c r="B124" s="999"/>
      <c r="C124" s="64" t="s">
        <v>10</v>
      </c>
      <c r="D124" s="64" t="s">
        <v>11</v>
      </c>
      <c r="E124" s="64" t="s">
        <v>11</v>
      </c>
      <c r="F124" s="64" t="s">
        <v>11</v>
      </c>
    </row>
    <row r="125" spans="2:12" ht="30.75" thickBot="1" x14ac:dyDescent="0.3">
      <c r="B125" s="65" t="s">
        <v>58</v>
      </c>
      <c r="C125" s="164"/>
      <c r="D125" s="164"/>
      <c r="E125" s="164"/>
      <c r="F125" s="164"/>
    </row>
    <row r="126" spans="2:12" ht="30.75" thickBot="1" x14ac:dyDescent="0.3">
      <c r="B126" s="65" t="s">
        <v>59</v>
      </c>
      <c r="C126" s="165"/>
      <c r="D126" s="164"/>
      <c r="E126" s="164"/>
      <c r="F126" s="164"/>
    </row>
    <row r="127" spans="2:12" ht="30.75" thickBot="1" x14ac:dyDescent="0.3">
      <c r="B127" s="66" t="s">
        <v>40</v>
      </c>
      <c r="C127" s="165">
        <f>C126+C125</f>
        <v>0</v>
      </c>
      <c r="D127" s="165">
        <f t="shared" ref="D127:F127" si="13">D126+D125</f>
        <v>0</v>
      </c>
      <c r="E127" s="165">
        <f t="shared" si="13"/>
        <v>0</v>
      </c>
      <c r="F127" s="165">
        <f t="shared" si="13"/>
        <v>0</v>
      </c>
    </row>
    <row r="128" spans="2:12" ht="30.75" thickBot="1" x14ac:dyDescent="0.3">
      <c r="B128" s="197" t="s">
        <v>61</v>
      </c>
      <c r="C128" s="1009" t="s">
        <v>130</v>
      </c>
      <c r="D128" s="1010"/>
      <c r="E128" s="1010"/>
      <c r="F128" s="1011"/>
    </row>
    <row r="129" spans="2:12" ht="30.75" thickBot="1" x14ac:dyDescent="0.3">
      <c r="B129" s="160" t="s">
        <v>129</v>
      </c>
      <c r="C129" s="992" t="s">
        <v>106</v>
      </c>
      <c r="D129" s="993"/>
      <c r="E129" s="993"/>
      <c r="F129" s="994"/>
    </row>
    <row r="130" spans="2:12" ht="17.25" customHeight="1" thickBot="1" x14ac:dyDescent="0.3">
      <c r="B130" s="62" t="s">
        <v>17</v>
      </c>
      <c r="C130" s="983" t="s">
        <v>106</v>
      </c>
      <c r="D130" s="984"/>
      <c r="E130" s="984"/>
      <c r="F130" s="985"/>
    </row>
    <row r="131" spans="2:12" ht="15.75" thickBot="1" x14ac:dyDescent="0.3">
      <c r="B131" s="62" t="s">
        <v>18</v>
      </c>
      <c r="C131" s="995" t="s">
        <v>106</v>
      </c>
      <c r="D131" s="996"/>
      <c r="E131" s="996"/>
      <c r="F131" s="997"/>
    </row>
    <row r="132" spans="2:12" ht="12.75" customHeight="1" x14ac:dyDescent="0.25">
      <c r="B132" s="998"/>
      <c r="C132" s="63">
        <v>2018</v>
      </c>
      <c r="D132" s="63">
        <v>2019</v>
      </c>
      <c r="E132" s="63">
        <v>2020</v>
      </c>
      <c r="F132" s="63">
        <v>2021</v>
      </c>
    </row>
    <row r="133" spans="2:12" ht="20.25" customHeight="1" thickBot="1" x14ac:dyDescent="0.3">
      <c r="B133" s="999"/>
      <c r="C133" s="64" t="s">
        <v>10</v>
      </c>
      <c r="D133" s="64" t="s">
        <v>11</v>
      </c>
      <c r="E133" s="64" t="s">
        <v>11</v>
      </c>
      <c r="F133" s="64" t="s">
        <v>11</v>
      </c>
    </row>
    <row r="134" spans="2:12" ht="15.75" thickBot="1" x14ac:dyDescent="0.3">
      <c r="B134" s="62" t="s">
        <v>19</v>
      </c>
      <c r="C134" s="161"/>
      <c r="D134" s="161"/>
      <c r="E134" s="161"/>
      <c r="F134" s="161"/>
    </row>
    <row r="135" spans="2:12" ht="30.75" thickBot="1" x14ac:dyDescent="0.3">
      <c r="B135" s="62" t="s">
        <v>20</v>
      </c>
      <c r="C135" s="161"/>
      <c r="D135" s="161"/>
      <c r="E135" s="161"/>
      <c r="F135" s="161"/>
    </row>
    <row r="136" spans="2:12" ht="30.75" thickBot="1" x14ac:dyDescent="0.3">
      <c r="B136" s="62" t="s">
        <v>21</v>
      </c>
      <c r="C136" s="161" t="e">
        <f>C135/C134</f>
        <v>#DIV/0!</v>
      </c>
      <c r="D136" s="161" t="e">
        <f t="shared" ref="D136:F136" si="14">D135/D134</f>
        <v>#DIV/0!</v>
      </c>
      <c r="E136" s="161" t="e">
        <f t="shared" si="14"/>
        <v>#DIV/0!</v>
      </c>
      <c r="F136" s="161" t="e">
        <f t="shared" si="14"/>
        <v>#DIV/0!</v>
      </c>
    </row>
    <row r="137" spans="2:12" ht="15.75" thickBot="1" x14ac:dyDescent="0.3">
      <c r="B137" s="62" t="s">
        <v>22</v>
      </c>
      <c r="C137" s="145" t="s">
        <v>23</v>
      </c>
      <c r="D137" s="162" t="e">
        <f>D134/C134-1</f>
        <v>#DIV/0!</v>
      </c>
      <c r="E137" s="162" t="e">
        <f t="shared" ref="E137:F139" si="15">E134/D134-1</f>
        <v>#DIV/0!</v>
      </c>
      <c r="F137" s="162" t="e">
        <f t="shared" si="15"/>
        <v>#DIV/0!</v>
      </c>
      <c r="H137" s="163"/>
      <c r="I137" s="163"/>
      <c r="J137" s="163"/>
      <c r="K137" s="163"/>
      <c r="L137" s="163"/>
    </row>
    <row r="138" spans="2:12" ht="30.75" thickBot="1" x14ac:dyDescent="0.3">
      <c r="B138" s="62" t="s">
        <v>24</v>
      </c>
      <c r="C138" s="145" t="s">
        <v>23</v>
      </c>
      <c r="D138" s="162" t="e">
        <f>D135/C135-1</f>
        <v>#DIV/0!</v>
      </c>
      <c r="E138" s="162" t="e">
        <f t="shared" si="15"/>
        <v>#DIV/0!</v>
      </c>
      <c r="F138" s="162" t="e">
        <f t="shared" si="15"/>
        <v>#DIV/0!</v>
      </c>
    </row>
    <row r="139" spans="2:12" ht="30.75" thickBot="1" x14ac:dyDescent="0.3">
      <c r="B139" s="62" t="s">
        <v>25</v>
      </c>
      <c r="C139" s="145" t="s">
        <v>23</v>
      </c>
      <c r="D139" s="162" t="e">
        <f>D136/C136-1</f>
        <v>#DIV/0!</v>
      </c>
      <c r="E139" s="162" t="e">
        <f t="shared" si="15"/>
        <v>#DIV/0!</v>
      </c>
      <c r="F139" s="162" t="e">
        <f t="shared" si="15"/>
        <v>#DIV/0!</v>
      </c>
    </row>
    <row r="140" spans="2:12" ht="15.75" thickBot="1" x14ac:dyDescent="0.3">
      <c r="B140" s="1000" t="s">
        <v>793</v>
      </c>
      <c r="C140" s="1001"/>
      <c r="D140" s="1001"/>
      <c r="E140" s="1001"/>
      <c r="F140" s="1002"/>
    </row>
    <row r="141" spans="2:12" ht="12.75" customHeight="1" x14ac:dyDescent="0.25">
      <c r="B141" s="998"/>
      <c r="C141" s="63">
        <v>2018</v>
      </c>
      <c r="D141" s="63">
        <v>2019</v>
      </c>
      <c r="E141" s="63">
        <v>2020</v>
      </c>
      <c r="F141" s="63">
        <v>2021</v>
      </c>
    </row>
    <row r="142" spans="2:12" ht="21" customHeight="1" thickBot="1" x14ac:dyDescent="0.3">
      <c r="B142" s="999"/>
      <c r="C142" s="64" t="s">
        <v>10</v>
      </c>
      <c r="D142" s="64" t="s">
        <v>11</v>
      </c>
      <c r="E142" s="64" t="s">
        <v>11</v>
      </c>
      <c r="F142" s="64" t="s">
        <v>11</v>
      </c>
    </row>
    <row r="143" spans="2:12" ht="30.75" thickBot="1" x14ac:dyDescent="0.3">
      <c r="B143" s="65" t="s">
        <v>58</v>
      </c>
      <c r="C143" s="164"/>
      <c r="D143" s="164"/>
      <c r="E143" s="164"/>
      <c r="F143" s="164"/>
    </row>
    <row r="144" spans="2:12" ht="30.75" thickBot="1" x14ac:dyDescent="0.3">
      <c r="B144" s="65" t="s">
        <v>59</v>
      </c>
      <c r="C144" s="165"/>
      <c r="D144" s="164"/>
      <c r="E144" s="164"/>
      <c r="F144" s="164"/>
    </row>
    <row r="145" spans="1:11" ht="30.75" thickBot="1" x14ac:dyDescent="0.3">
      <c r="B145" s="66" t="s">
        <v>74</v>
      </c>
      <c r="C145" s="165">
        <f>C144+C143</f>
        <v>0</v>
      </c>
      <c r="D145" s="165">
        <f t="shared" ref="D145:F145" si="16">D144+D143</f>
        <v>0</v>
      </c>
      <c r="E145" s="165">
        <f t="shared" si="16"/>
        <v>0</v>
      </c>
      <c r="F145" s="165">
        <f t="shared" si="16"/>
        <v>0</v>
      </c>
    </row>
    <row r="146" spans="1:11" ht="15.75" thickBot="1" x14ac:dyDescent="0.3">
      <c r="B146" s="198" t="s">
        <v>3</v>
      </c>
      <c r="C146" s="1408" t="s">
        <v>263</v>
      </c>
      <c r="D146" s="1409"/>
      <c r="E146" s="1409"/>
      <c r="F146" s="1410"/>
    </row>
    <row r="147" spans="1:11" ht="30.75" thickBot="1" x14ac:dyDescent="0.3">
      <c r="B147" s="153" t="s">
        <v>5</v>
      </c>
      <c r="C147" s="983" t="s">
        <v>6</v>
      </c>
      <c r="D147" s="984"/>
      <c r="E147" s="984"/>
      <c r="F147" s="985"/>
    </row>
    <row r="148" spans="1:11" ht="15.75" thickBot="1" x14ac:dyDescent="0.3">
      <c r="B148" s="986" t="s">
        <v>7</v>
      </c>
      <c r="C148" s="987"/>
      <c r="D148" s="987"/>
      <c r="E148" s="987"/>
      <c r="F148" s="988"/>
    </row>
    <row r="149" spans="1:11" ht="15.75" thickBot="1" x14ac:dyDescent="0.3">
      <c r="B149" s="1003" t="s">
        <v>264</v>
      </c>
      <c r="C149" s="1004"/>
      <c r="D149" s="1004"/>
      <c r="E149" s="1004"/>
      <c r="F149" s="1005"/>
    </row>
    <row r="150" spans="1:11" ht="36.75" customHeight="1" thickBot="1" x14ac:dyDescent="0.3">
      <c r="B150" s="1003"/>
      <c r="C150" s="1004"/>
      <c r="D150" s="1004"/>
      <c r="E150" s="1004"/>
      <c r="F150" s="1005"/>
    </row>
    <row r="151" spans="1:11" ht="15.75" thickBot="1" x14ac:dyDescent="0.3">
      <c r="B151" s="1003"/>
      <c r="C151" s="1004"/>
      <c r="D151" s="1004"/>
      <c r="E151" s="1004"/>
      <c r="F151" s="1005"/>
    </row>
    <row r="152" spans="1:11" ht="42.75" customHeight="1" thickBot="1" x14ac:dyDescent="0.3">
      <c r="B152" s="154" t="s">
        <v>8</v>
      </c>
      <c r="C152" s="1006" t="s">
        <v>265</v>
      </c>
      <c r="D152" s="993"/>
      <c r="E152" s="993"/>
      <c r="F152" s="994"/>
    </row>
    <row r="153" spans="1:11" ht="23.25" customHeight="1" x14ac:dyDescent="0.25">
      <c r="B153" s="998" t="s">
        <v>102</v>
      </c>
      <c r="C153" s="155">
        <v>2018</v>
      </c>
      <c r="D153" s="155">
        <v>2019</v>
      </c>
      <c r="E153" s="155">
        <v>2020</v>
      </c>
      <c r="F153" s="155">
        <v>2021</v>
      </c>
    </row>
    <row r="154" spans="1:11" ht="15.75" thickBot="1" x14ac:dyDescent="0.3">
      <c r="B154" s="999"/>
      <c r="C154" s="156" t="s">
        <v>10</v>
      </c>
      <c r="D154" s="156" t="s">
        <v>11</v>
      </c>
      <c r="E154" s="156" t="s">
        <v>11</v>
      </c>
      <c r="F154" s="156" t="s">
        <v>11</v>
      </c>
    </row>
    <row r="155" spans="1:11" ht="45.75" thickBot="1" x14ac:dyDescent="0.3">
      <c r="B155" s="145" t="s">
        <v>250</v>
      </c>
      <c r="C155" s="157">
        <v>0.95</v>
      </c>
      <c r="D155" s="157">
        <v>0.96</v>
      </c>
      <c r="E155" s="157">
        <v>0.96</v>
      </c>
      <c r="F155" s="157">
        <v>0.96</v>
      </c>
    </row>
    <row r="156" spans="1:11" ht="30.75" thickBot="1" x14ac:dyDescent="0.3">
      <c r="B156" s="158" t="s">
        <v>12</v>
      </c>
      <c r="C156" s="1007" t="s">
        <v>266</v>
      </c>
      <c r="D156" s="1006"/>
      <c r="E156" s="1006"/>
      <c r="F156" s="1008"/>
    </row>
    <row r="157" spans="1:11" ht="23.25" customHeight="1" thickBot="1" x14ac:dyDescent="0.3">
      <c r="B157" s="983" t="s">
        <v>103</v>
      </c>
      <c r="C157" s="984"/>
      <c r="D157" s="984"/>
      <c r="E157" s="984"/>
      <c r="F157" s="985"/>
      <c r="I157" s="159"/>
      <c r="K157" s="159"/>
    </row>
    <row r="158" spans="1:11" ht="45.75" thickBot="1" x14ac:dyDescent="0.3">
      <c r="B158" s="146" t="s">
        <v>252</v>
      </c>
      <c r="C158" s="192" t="s">
        <v>253</v>
      </c>
      <c r="D158" s="192" t="s">
        <v>253</v>
      </c>
      <c r="E158" s="192" t="s">
        <v>253</v>
      </c>
      <c r="F158" s="192" t="s">
        <v>253</v>
      </c>
    </row>
    <row r="159" spans="1:11" ht="30.75" thickBot="1" x14ac:dyDescent="0.3">
      <c r="B159" s="62" t="s">
        <v>254</v>
      </c>
      <c r="C159" s="193">
        <v>0.25</v>
      </c>
      <c r="D159" s="193">
        <v>0.25</v>
      </c>
      <c r="E159" s="193">
        <v>0.25</v>
      </c>
      <c r="F159" s="193">
        <v>0.25</v>
      </c>
    </row>
    <row r="160" spans="1:11" s="202" customFormat="1" ht="15.75" thickBot="1" x14ac:dyDescent="0.3">
      <c r="A160" s="152"/>
      <c r="B160" s="199"/>
      <c r="C160" s="200"/>
      <c r="D160" s="200"/>
      <c r="E160" s="200"/>
      <c r="F160" s="201"/>
    </row>
    <row r="161" spans="2:6" ht="23.25" customHeight="1" thickBot="1" x14ac:dyDescent="0.3">
      <c r="B161" s="1027" t="s">
        <v>14</v>
      </c>
      <c r="C161" s="1028"/>
      <c r="D161" s="1028"/>
      <c r="E161" s="1028"/>
      <c r="F161" s="1029"/>
    </row>
    <row r="162" spans="2:6" ht="23.25" customHeight="1" thickBot="1" x14ac:dyDescent="0.3">
      <c r="B162" s="1030" t="s">
        <v>70</v>
      </c>
      <c r="C162" s="1031"/>
      <c r="D162" s="1031"/>
      <c r="E162" s="1031"/>
      <c r="F162" s="1032"/>
    </row>
    <row r="163" spans="2:6" ht="12.75" customHeight="1" x14ac:dyDescent="0.25">
      <c r="B163" s="998"/>
      <c r="C163" s="63">
        <v>2018</v>
      </c>
      <c r="D163" s="63">
        <v>2019</v>
      </c>
      <c r="E163" s="63">
        <v>2020</v>
      </c>
      <c r="F163" s="63">
        <v>2021</v>
      </c>
    </row>
    <row r="164" spans="2:6" ht="20.25" customHeight="1" thickBot="1" x14ac:dyDescent="0.3">
      <c r="B164" s="999"/>
      <c r="C164" s="64" t="s">
        <v>10</v>
      </c>
      <c r="D164" s="64" t="s">
        <v>11</v>
      </c>
      <c r="E164" s="64" t="s">
        <v>11</v>
      </c>
      <c r="F164" s="64" t="s">
        <v>11</v>
      </c>
    </row>
    <row r="165" spans="2:6" ht="26.25" customHeight="1" thickBot="1" x14ac:dyDescent="0.3">
      <c r="B165" s="160" t="s">
        <v>16</v>
      </c>
      <c r="C165" s="992" t="s">
        <v>267</v>
      </c>
      <c r="D165" s="993"/>
      <c r="E165" s="993"/>
      <c r="F165" s="994"/>
    </row>
    <row r="166" spans="2:6" ht="16.5" customHeight="1" thickBot="1" x14ac:dyDescent="0.3">
      <c r="B166" s="62" t="s">
        <v>17</v>
      </c>
      <c r="C166" s="983" t="s">
        <v>268</v>
      </c>
      <c r="D166" s="984"/>
      <c r="E166" s="984"/>
      <c r="F166" s="985"/>
    </row>
    <row r="167" spans="2:6" ht="15.75" customHeight="1" thickBot="1" x14ac:dyDescent="0.3">
      <c r="B167" s="62" t="s">
        <v>18</v>
      </c>
      <c r="C167" s="995" t="s">
        <v>269</v>
      </c>
      <c r="D167" s="996"/>
      <c r="E167" s="996"/>
      <c r="F167" s="997"/>
    </row>
    <row r="168" spans="2:6" ht="12.75" customHeight="1" x14ac:dyDescent="0.25">
      <c r="B168" s="998"/>
      <c r="C168" s="63">
        <v>2018</v>
      </c>
      <c r="D168" s="63">
        <v>2019</v>
      </c>
      <c r="E168" s="63">
        <v>2020</v>
      </c>
      <c r="F168" s="63">
        <v>2021</v>
      </c>
    </row>
    <row r="169" spans="2:6" ht="9" customHeight="1" thickBot="1" x14ac:dyDescent="0.3">
      <c r="B169" s="999"/>
      <c r="C169" s="64" t="s">
        <v>10</v>
      </c>
      <c r="D169" s="64" t="s">
        <v>11</v>
      </c>
      <c r="E169" s="64" t="s">
        <v>11</v>
      </c>
      <c r="F169" s="64" t="s">
        <v>11</v>
      </c>
    </row>
    <row r="170" spans="2:6" ht="15.75" customHeight="1" thickBot="1" x14ac:dyDescent="0.3">
      <c r="B170" s="62" t="s">
        <v>19</v>
      </c>
      <c r="C170" s="161"/>
      <c r="D170" s="203">
        <v>1</v>
      </c>
      <c r="E170" s="203">
        <v>0</v>
      </c>
      <c r="F170" s="203">
        <v>1</v>
      </c>
    </row>
    <row r="171" spans="2:6" ht="30.75" thickBot="1" x14ac:dyDescent="0.3">
      <c r="B171" s="62" t="s">
        <v>20</v>
      </c>
      <c r="C171" s="161"/>
      <c r="D171" s="161">
        <f>D185</f>
        <v>600000</v>
      </c>
      <c r="E171" s="161">
        <v>0</v>
      </c>
      <c r="F171" s="161">
        <f>F185</f>
        <v>600000</v>
      </c>
    </row>
    <row r="172" spans="2:6" ht="30.75" thickBot="1" x14ac:dyDescent="0.3">
      <c r="B172" s="62" t="s">
        <v>21</v>
      </c>
      <c r="C172" s="161" t="e">
        <f>C171/C170</f>
        <v>#DIV/0!</v>
      </c>
      <c r="D172" s="161">
        <f t="shared" ref="D172:F172" si="17">D171/D170</f>
        <v>600000</v>
      </c>
      <c r="E172" s="161" t="e">
        <f t="shared" si="17"/>
        <v>#DIV/0!</v>
      </c>
      <c r="F172" s="161">
        <f t="shared" si="17"/>
        <v>600000</v>
      </c>
    </row>
    <row r="173" spans="2:6" ht="15.75" thickBot="1" x14ac:dyDescent="0.3">
      <c r="B173" s="62" t="s">
        <v>22</v>
      </c>
      <c r="C173" s="145"/>
      <c r="D173" s="162" t="e">
        <f>D170/C170-1</f>
        <v>#DIV/0!</v>
      </c>
      <c r="E173" s="162">
        <f t="shared" ref="E173:F175" si="18">E170/D170-1</f>
        <v>-1</v>
      </c>
      <c r="F173" s="162" t="e">
        <f t="shared" si="18"/>
        <v>#DIV/0!</v>
      </c>
    </row>
    <row r="174" spans="2:6" ht="30.75" thickBot="1" x14ac:dyDescent="0.3">
      <c r="B174" s="62" t="s">
        <v>24</v>
      </c>
      <c r="C174" s="145"/>
      <c r="D174" s="162" t="e">
        <f>D171/C171-1</f>
        <v>#DIV/0!</v>
      </c>
      <c r="E174" s="162">
        <f t="shared" si="18"/>
        <v>-1</v>
      </c>
      <c r="F174" s="162" t="e">
        <f t="shared" si="18"/>
        <v>#DIV/0!</v>
      </c>
    </row>
    <row r="175" spans="2:6" ht="30.75" thickBot="1" x14ac:dyDescent="0.3">
      <c r="B175" s="62" t="s">
        <v>25</v>
      </c>
      <c r="C175" s="145"/>
      <c r="D175" s="162" t="e">
        <f>D172/C172-1</f>
        <v>#DIV/0!</v>
      </c>
      <c r="E175" s="162" t="e">
        <f t="shared" si="18"/>
        <v>#DIV/0!</v>
      </c>
      <c r="F175" s="162" t="e">
        <f t="shared" si="18"/>
        <v>#DIV/0!</v>
      </c>
    </row>
    <row r="176" spans="2:6" ht="12.75" customHeight="1" x14ac:dyDescent="0.25">
      <c r="B176" s="998"/>
      <c r="C176" s="63">
        <v>2018</v>
      </c>
      <c r="D176" s="63">
        <v>2019</v>
      </c>
      <c r="E176" s="63">
        <v>2020</v>
      </c>
      <c r="F176" s="63">
        <v>2021</v>
      </c>
    </row>
    <row r="177" spans="2:6" ht="29.25" customHeight="1" thickBot="1" x14ac:dyDescent="0.3">
      <c r="B177" s="999"/>
      <c r="C177" s="64" t="s">
        <v>10</v>
      </c>
      <c r="D177" s="64" t="s">
        <v>11</v>
      </c>
      <c r="E177" s="64" t="s">
        <v>11</v>
      </c>
      <c r="F177" s="64" t="s">
        <v>11</v>
      </c>
    </row>
    <row r="178" spans="2:6" ht="15.75" thickBot="1" x14ac:dyDescent="0.3">
      <c r="B178" s="1000" t="s">
        <v>794</v>
      </c>
      <c r="C178" s="1001"/>
      <c r="D178" s="1001"/>
      <c r="E178" s="1001"/>
      <c r="F178" s="1002"/>
    </row>
    <row r="179" spans="2:6" ht="12.75" customHeight="1" x14ac:dyDescent="0.25">
      <c r="B179" s="998"/>
      <c r="C179" s="63">
        <v>2018</v>
      </c>
      <c r="D179" s="63">
        <v>2019</v>
      </c>
      <c r="E179" s="63">
        <v>2020</v>
      </c>
      <c r="F179" s="63">
        <v>2021</v>
      </c>
    </row>
    <row r="180" spans="2:6" ht="25.5" customHeight="1" thickBot="1" x14ac:dyDescent="0.3">
      <c r="B180" s="999"/>
      <c r="C180" s="64" t="s">
        <v>10</v>
      </c>
      <c r="D180" s="64" t="s">
        <v>11</v>
      </c>
      <c r="E180" s="64" t="s">
        <v>11</v>
      </c>
      <c r="F180" s="64" t="s">
        <v>11</v>
      </c>
    </row>
    <row r="181" spans="2:6" ht="15.75" thickBot="1" x14ac:dyDescent="0.3">
      <c r="B181" s="65" t="s">
        <v>26</v>
      </c>
      <c r="C181" s="164"/>
      <c r="D181" s="164"/>
      <c r="E181" s="164"/>
      <c r="F181" s="164"/>
    </row>
    <row r="182" spans="2:6" ht="45.75" thickBot="1" x14ac:dyDescent="0.3">
      <c r="B182" s="65" t="s">
        <v>28</v>
      </c>
      <c r="C182" s="164"/>
      <c r="D182" s="164"/>
      <c r="E182" s="164"/>
      <c r="F182" s="164"/>
    </row>
    <row r="183" spans="2:6" ht="30.75" thickBot="1" x14ac:dyDescent="0.3">
      <c r="B183" s="65" t="s">
        <v>30</v>
      </c>
      <c r="C183" s="165"/>
      <c r="D183" s="164"/>
      <c r="E183" s="164"/>
      <c r="F183" s="164"/>
    </row>
    <row r="184" spans="2:6" ht="15.75" thickBot="1" x14ac:dyDescent="0.3">
      <c r="B184" s="65" t="s">
        <v>32</v>
      </c>
      <c r="C184" s="165"/>
      <c r="D184" s="164"/>
      <c r="E184" s="164"/>
      <c r="F184" s="164"/>
    </row>
    <row r="185" spans="2:6" ht="30.75" thickBot="1" x14ac:dyDescent="0.3">
      <c r="B185" s="65" t="s">
        <v>34</v>
      </c>
      <c r="C185" s="165"/>
      <c r="D185" s="164">
        <v>600000</v>
      </c>
      <c r="E185" s="164"/>
      <c r="F185" s="164">
        <v>600000</v>
      </c>
    </row>
    <row r="186" spans="2:6" ht="30.75" thickBot="1" x14ac:dyDescent="0.3">
      <c r="B186" s="65" t="s">
        <v>36</v>
      </c>
      <c r="C186" s="165"/>
      <c r="D186" s="164"/>
      <c r="E186" s="164"/>
      <c r="F186" s="164"/>
    </row>
    <row r="187" spans="2:6" ht="30.75" thickBot="1" x14ac:dyDescent="0.3">
      <c r="B187" s="65" t="s">
        <v>38</v>
      </c>
      <c r="C187" s="165"/>
      <c r="D187" s="164"/>
      <c r="E187" s="164"/>
      <c r="F187" s="164"/>
    </row>
    <row r="188" spans="2:6" ht="45.75" thickBot="1" x14ac:dyDescent="0.3">
      <c r="B188" s="204" t="s">
        <v>71</v>
      </c>
      <c r="C188" s="205">
        <f>C187+C186+C185+C184+C183+C182+C181</f>
        <v>0</v>
      </c>
      <c r="D188" s="205">
        <f>D187+D186+D185+D184+D183+D182+D181</f>
        <v>600000</v>
      </c>
      <c r="E188" s="205">
        <f t="shared" ref="E188:F188" si="19">E187+E186+E185+E184+E183+E182+E181</f>
        <v>0</v>
      </c>
      <c r="F188" s="205">
        <f t="shared" si="19"/>
        <v>600000</v>
      </c>
    </row>
    <row r="189" spans="2:6" ht="15.75" thickBot="1" x14ac:dyDescent="0.3">
      <c r="B189" s="166" t="s">
        <v>41</v>
      </c>
      <c r="C189" s="167">
        <f>IF(C188-C171=0,0,"Error")</f>
        <v>0</v>
      </c>
      <c r="D189" s="167">
        <f>IF(D188-D171=0,0,"Error")</f>
        <v>0</v>
      </c>
      <c r="E189" s="167">
        <f>IF(E188-E171=0,0,"Error")</f>
        <v>0</v>
      </c>
      <c r="F189" s="167">
        <f>IF(F188-F171=0,0,"Error")</f>
        <v>0</v>
      </c>
    </row>
    <row r="190" spans="2:6" ht="15.75" thickBot="1" x14ac:dyDescent="0.3">
      <c r="B190" s="175"/>
      <c r="C190" s="176"/>
      <c r="D190" s="176"/>
      <c r="E190" s="176"/>
      <c r="F190" s="176"/>
    </row>
    <row r="191" spans="2:6" ht="41.25" customHeight="1" thickBot="1" x14ac:dyDescent="0.3">
      <c r="B191" s="158" t="s">
        <v>82</v>
      </c>
      <c r="C191" s="177">
        <f>+C171+C135+C117+C97+C76+C50+C27</f>
        <v>128300</v>
      </c>
      <c r="D191" s="177">
        <f t="shared" ref="D191:F191" si="20">+D171+D135+D117+D97+D76+D50+D27</f>
        <v>728600</v>
      </c>
      <c r="E191" s="177">
        <f t="shared" si="20"/>
        <v>129000</v>
      </c>
      <c r="F191" s="177">
        <f t="shared" si="20"/>
        <v>730000</v>
      </c>
    </row>
    <row r="192" spans="2:6" ht="31.5" customHeight="1" thickBot="1" x14ac:dyDescent="0.3">
      <c r="B192" s="158" t="s">
        <v>83</v>
      </c>
      <c r="C192" s="177">
        <f>C194+C196+C198+C200+C202+C204+C206+C208+C210</f>
        <v>128300</v>
      </c>
      <c r="D192" s="177">
        <f>D194+D196+D198+D200+D202+D204+D206+D208+D210</f>
        <v>728600</v>
      </c>
      <c r="E192" s="177">
        <f>E194+E196+E198+E200+E202+E204+E206+E208+E210</f>
        <v>129000</v>
      </c>
      <c r="F192" s="177">
        <f>F194+F196+F198+F200+F202+F204+F206+F208+F210</f>
        <v>730000</v>
      </c>
    </row>
    <row r="193" spans="2:6" ht="42" customHeight="1" thickBot="1" x14ac:dyDescent="0.3">
      <c r="B193" s="178" t="s">
        <v>84</v>
      </c>
      <c r="C193" s="179"/>
      <c r="D193" s="180">
        <f>D192/C192-1</f>
        <v>4.6788776305533908</v>
      </c>
      <c r="E193" s="180">
        <f t="shared" ref="E193:F193" si="21">E192/D192-1</f>
        <v>-0.8229481196815811</v>
      </c>
      <c r="F193" s="180">
        <f t="shared" si="21"/>
        <v>4.6589147286821708</v>
      </c>
    </row>
    <row r="194" spans="2:6" ht="15.75" thickBot="1" x14ac:dyDescent="0.3">
      <c r="B194" s="65" t="s">
        <v>26</v>
      </c>
      <c r="C194" s="164">
        <f>C181+C58+C35</f>
        <v>78000</v>
      </c>
      <c r="D194" s="164">
        <f t="shared" ref="D194:F194" si="22">D181+D58+D35</f>
        <v>78000</v>
      </c>
      <c r="E194" s="164">
        <f t="shared" si="22"/>
        <v>78000</v>
      </c>
      <c r="F194" s="164">
        <f t="shared" si="22"/>
        <v>78000</v>
      </c>
    </row>
    <row r="195" spans="2:6" ht="15.75" thickBot="1" x14ac:dyDescent="0.3">
      <c r="B195" s="181" t="s">
        <v>85</v>
      </c>
      <c r="C195" s="165"/>
      <c r="D195" s="182">
        <f>D194/C194-1</f>
        <v>0</v>
      </c>
      <c r="E195" s="182">
        <f t="shared" ref="E195:F195" si="23">E194/D194-1</f>
        <v>0</v>
      </c>
      <c r="F195" s="182">
        <f t="shared" si="23"/>
        <v>0</v>
      </c>
    </row>
    <row r="196" spans="2:6" ht="31.5" customHeight="1" thickBot="1" x14ac:dyDescent="0.3">
      <c r="B196" s="65" t="s">
        <v>28</v>
      </c>
      <c r="C196" s="164">
        <f>C182+C59+C36</f>
        <v>14300</v>
      </c>
      <c r="D196" s="164">
        <f t="shared" ref="D196:F196" si="24">D182+D59+D36</f>
        <v>14300</v>
      </c>
      <c r="E196" s="164">
        <f t="shared" si="24"/>
        <v>14300</v>
      </c>
      <c r="F196" s="164">
        <f t="shared" si="24"/>
        <v>14300</v>
      </c>
    </row>
    <row r="197" spans="2:6" ht="26.25" customHeight="1" thickBot="1" x14ac:dyDescent="0.3">
      <c r="B197" s="181" t="s">
        <v>86</v>
      </c>
      <c r="C197" s="165"/>
      <c r="D197" s="182">
        <f>D196/C196-1</f>
        <v>0</v>
      </c>
      <c r="E197" s="182">
        <f t="shared" ref="E197:F197" si="25">E196/D196-1</f>
        <v>0</v>
      </c>
      <c r="F197" s="182">
        <f t="shared" si="25"/>
        <v>0</v>
      </c>
    </row>
    <row r="198" spans="2:6" ht="30.75" thickBot="1" x14ac:dyDescent="0.3">
      <c r="B198" s="65" t="s">
        <v>30</v>
      </c>
      <c r="C198" s="164">
        <f>C183+C60+C37</f>
        <v>33000</v>
      </c>
      <c r="D198" s="164">
        <f>D183+D60+D37</f>
        <v>33300</v>
      </c>
      <c r="E198" s="164">
        <f>E183+E60+E37</f>
        <v>33700</v>
      </c>
      <c r="F198" s="164">
        <f t="shared" ref="F198" si="26">F183+F60+F37</f>
        <v>34700</v>
      </c>
    </row>
    <row r="199" spans="2:6" ht="30.75" thickBot="1" x14ac:dyDescent="0.3">
      <c r="B199" s="181" t="s">
        <v>87</v>
      </c>
      <c r="C199" s="165"/>
      <c r="D199" s="182">
        <f>D198/C198-1</f>
        <v>9.0909090909090384E-3</v>
      </c>
      <c r="E199" s="182">
        <f t="shared" ref="E199:F199" si="27">E198/D198-1</f>
        <v>1.2012012012011963E-2</v>
      </c>
      <c r="F199" s="182">
        <f t="shared" si="27"/>
        <v>2.9673590504450953E-2</v>
      </c>
    </row>
    <row r="200" spans="2:6" ht="15.75" thickBot="1" x14ac:dyDescent="0.3">
      <c r="B200" s="65" t="s">
        <v>32</v>
      </c>
      <c r="C200" s="164">
        <f>C184+C61+C38</f>
        <v>0</v>
      </c>
      <c r="D200" s="164">
        <f t="shared" ref="D200:F200" si="28">D184+D61+D38</f>
        <v>0</v>
      </c>
      <c r="E200" s="164">
        <f t="shared" si="28"/>
        <v>0</v>
      </c>
      <c r="F200" s="164">
        <f t="shared" si="28"/>
        <v>0</v>
      </c>
    </row>
    <row r="201" spans="2:6" ht="30.75" thickBot="1" x14ac:dyDescent="0.3">
      <c r="B201" s="181" t="s">
        <v>88</v>
      </c>
      <c r="C201" s="165"/>
      <c r="D201" s="182" t="e">
        <f>D200/C200-1</f>
        <v>#DIV/0!</v>
      </c>
      <c r="E201" s="182" t="e">
        <f t="shared" ref="E201:F201" si="29">E200/D200-1</f>
        <v>#DIV/0!</v>
      </c>
      <c r="F201" s="182" t="e">
        <f t="shared" si="29"/>
        <v>#DIV/0!</v>
      </c>
    </row>
    <row r="202" spans="2:6" ht="30.75" thickBot="1" x14ac:dyDescent="0.3">
      <c r="B202" s="65" t="s">
        <v>34</v>
      </c>
      <c r="C202" s="164">
        <f>C185+C62+C39</f>
        <v>0</v>
      </c>
      <c r="D202" s="164">
        <f t="shared" ref="D202:F202" si="30">D185+D62+D39</f>
        <v>600000</v>
      </c>
      <c r="E202" s="164">
        <f t="shared" si="30"/>
        <v>0</v>
      </c>
      <c r="F202" s="164">
        <f t="shared" si="30"/>
        <v>600000</v>
      </c>
    </row>
    <row r="203" spans="2:6" ht="30.75" thickBot="1" x14ac:dyDescent="0.3">
      <c r="B203" s="181" t="s">
        <v>89</v>
      </c>
      <c r="C203" s="165"/>
      <c r="D203" s="182" t="e">
        <f>D202/C202-1</f>
        <v>#DIV/0!</v>
      </c>
      <c r="E203" s="182">
        <f t="shared" ref="E203:F203" si="31">E202/D202-1</f>
        <v>-1</v>
      </c>
      <c r="F203" s="182" t="e">
        <f t="shared" si="31"/>
        <v>#DIV/0!</v>
      </c>
    </row>
    <row r="204" spans="2:6" ht="30.75" thickBot="1" x14ac:dyDescent="0.3">
      <c r="B204" s="65" t="s">
        <v>36</v>
      </c>
      <c r="C204" s="164">
        <f>+C186+C63+C40</f>
        <v>0</v>
      </c>
      <c r="D204" s="164">
        <f t="shared" ref="D204:F204" si="32">+D186+D63+D40</f>
        <v>0</v>
      </c>
      <c r="E204" s="164">
        <f t="shared" si="32"/>
        <v>0</v>
      </c>
      <c r="F204" s="164">
        <f t="shared" si="32"/>
        <v>0</v>
      </c>
    </row>
    <row r="205" spans="2:6" ht="30.75" thickBot="1" x14ac:dyDescent="0.3">
      <c r="B205" s="181" t="s">
        <v>90</v>
      </c>
      <c r="C205" s="165"/>
      <c r="D205" s="182" t="e">
        <f>D204/C204-1</f>
        <v>#DIV/0!</v>
      </c>
      <c r="E205" s="182" t="e">
        <f t="shared" ref="E205:F205" si="33">E204/D204-1</f>
        <v>#DIV/0!</v>
      </c>
      <c r="F205" s="182" t="e">
        <f t="shared" si="33"/>
        <v>#DIV/0!</v>
      </c>
    </row>
    <row r="206" spans="2:6" ht="30.75" thickBot="1" x14ac:dyDescent="0.3">
      <c r="B206" s="65" t="s">
        <v>38</v>
      </c>
      <c r="C206" s="164">
        <f>C187+C64+C41</f>
        <v>0</v>
      </c>
      <c r="D206" s="164">
        <f t="shared" ref="D206:F206" si="34">D187+D64+D41</f>
        <v>0</v>
      </c>
      <c r="E206" s="164">
        <f t="shared" si="34"/>
        <v>0</v>
      </c>
      <c r="F206" s="164">
        <f t="shared" si="34"/>
        <v>0</v>
      </c>
    </row>
    <row r="207" spans="2:6" ht="45.75" thickBot="1" x14ac:dyDescent="0.3">
      <c r="B207" s="181" t="s">
        <v>91</v>
      </c>
      <c r="C207" s="165"/>
      <c r="D207" s="182" t="e">
        <f>D206/C206-1</f>
        <v>#DIV/0!</v>
      </c>
      <c r="E207" s="182" t="e">
        <f t="shared" ref="E207:F207" si="35">E206/D206-1</f>
        <v>#DIV/0!</v>
      </c>
      <c r="F207" s="182" t="e">
        <f t="shared" si="35"/>
        <v>#DIV/0!</v>
      </c>
    </row>
    <row r="208" spans="2:6" ht="30.75" thickBot="1" x14ac:dyDescent="0.3">
      <c r="B208" s="65" t="s">
        <v>92</v>
      </c>
      <c r="C208" s="164">
        <f>C84+C105+C125+C143</f>
        <v>0</v>
      </c>
      <c r="D208" s="164">
        <f t="shared" ref="D208:F208" si="36">D84+D105+D125+D143</f>
        <v>0</v>
      </c>
      <c r="E208" s="164">
        <f t="shared" si="36"/>
        <v>0</v>
      </c>
      <c r="F208" s="164">
        <f t="shared" si="36"/>
        <v>0</v>
      </c>
    </row>
    <row r="209" spans="2:8" ht="30.75" thickBot="1" x14ac:dyDescent="0.3">
      <c r="B209" s="181" t="s">
        <v>93</v>
      </c>
      <c r="C209" s="165"/>
      <c r="D209" s="182" t="e">
        <f>D208/C208-1</f>
        <v>#DIV/0!</v>
      </c>
      <c r="E209" s="182" t="e">
        <f t="shared" ref="E209:F209" si="37">E208/D208-1</f>
        <v>#DIV/0!</v>
      </c>
      <c r="F209" s="182" t="e">
        <f t="shared" si="37"/>
        <v>#DIV/0!</v>
      </c>
    </row>
    <row r="210" spans="2:8" ht="30.75" thickBot="1" x14ac:dyDescent="0.3">
      <c r="B210" s="65" t="s">
        <v>94</v>
      </c>
      <c r="C210" s="164">
        <f>C85+C106+C126+C144</f>
        <v>3000</v>
      </c>
      <c r="D210" s="164">
        <f t="shared" ref="D210:F210" si="38">D85+D106+D126+D144</f>
        <v>3000</v>
      </c>
      <c r="E210" s="164">
        <f t="shared" si="38"/>
        <v>3000</v>
      </c>
      <c r="F210" s="164">
        <f t="shared" si="38"/>
        <v>3000</v>
      </c>
    </row>
    <row r="211" spans="2:8" ht="30.75" thickBot="1" x14ac:dyDescent="0.3">
      <c r="B211" s="181" t="s">
        <v>95</v>
      </c>
      <c r="C211" s="165"/>
      <c r="D211" s="182">
        <f>D210/C210-1</f>
        <v>0</v>
      </c>
      <c r="E211" s="182">
        <f t="shared" ref="E211:F211" si="39">E210/D210-1</f>
        <v>0</v>
      </c>
      <c r="F211" s="182">
        <f t="shared" si="39"/>
        <v>0</v>
      </c>
    </row>
    <row r="212" spans="2:8" ht="15.75" thickBot="1" x14ac:dyDescent="0.3">
      <c r="B212" s="166" t="s">
        <v>41</v>
      </c>
      <c r="C212" s="167">
        <f>IF(C192-C191=0,0,"Error")</f>
        <v>0</v>
      </c>
      <c r="D212" s="167">
        <f t="shared" ref="D212:E212" si="40">IF(D192-D191=0,0,"Error")</f>
        <v>0</v>
      </c>
      <c r="E212" s="167">
        <f t="shared" si="40"/>
        <v>0</v>
      </c>
      <c r="F212" s="167">
        <f>IF(F192-F191=0,0,"Error")</f>
        <v>0</v>
      </c>
    </row>
    <row r="213" spans="2:8" ht="45.75" thickBot="1" x14ac:dyDescent="0.3">
      <c r="B213" s="183" t="s">
        <v>96</v>
      </c>
      <c r="C213" s="164" t="s">
        <v>23</v>
      </c>
      <c r="D213" s="164" t="s">
        <v>23</v>
      </c>
      <c r="E213" s="164" t="s">
        <v>23</v>
      </c>
      <c r="F213" s="164" t="s">
        <v>23</v>
      </c>
    </row>
    <row r="214" spans="2:8" ht="45.75" thickBot="1" x14ac:dyDescent="0.3">
      <c r="B214" s="183" t="s">
        <v>97</v>
      </c>
      <c r="C214" s="164" t="s">
        <v>23</v>
      </c>
      <c r="D214" s="164" t="s">
        <v>23</v>
      </c>
      <c r="E214" s="164" t="s">
        <v>23</v>
      </c>
      <c r="F214" s="164" t="s">
        <v>23</v>
      </c>
    </row>
    <row r="216" spans="2:8" ht="15" customHeight="1" x14ac:dyDescent="0.25">
      <c r="D216" s="184"/>
      <c r="E216" s="185"/>
      <c r="F216" s="185"/>
      <c r="G216" s="185"/>
      <c r="H216" s="185"/>
    </row>
  </sheetData>
  <mergeCells count="76">
    <mergeCell ref="B179:B180"/>
    <mergeCell ref="C166:F166"/>
    <mergeCell ref="C167:F167"/>
    <mergeCell ref="B168:B169"/>
    <mergeCell ref="B176:B177"/>
    <mergeCell ref="B178:F178"/>
    <mergeCell ref="B157:F157"/>
    <mergeCell ref="B161:F161"/>
    <mergeCell ref="B162:F162"/>
    <mergeCell ref="B163:B164"/>
    <mergeCell ref="C165:F165"/>
    <mergeCell ref="C156:F156"/>
    <mergeCell ref="C130:F130"/>
    <mergeCell ref="C131:F131"/>
    <mergeCell ref="B132:B133"/>
    <mergeCell ref="B140:F140"/>
    <mergeCell ref="B141:B142"/>
    <mergeCell ref="C146:F146"/>
    <mergeCell ref="C147:F147"/>
    <mergeCell ref="B148:F148"/>
    <mergeCell ref="B149:F151"/>
    <mergeCell ref="C152:F152"/>
    <mergeCell ref="B153:B154"/>
    <mergeCell ref="C129:F129"/>
    <mergeCell ref="B103:B104"/>
    <mergeCell ref="B108:F108"/>
    <mergeCell ref="B109:F109"/>
    <mergeCell ref="C110:F110"/>
    <mergeCell ref="C111:F111"/>
    <mergeCell ref="C112:F112"/>
    <mergeCell ref="C113:F113"/>
    <mergeCell ref="B114:B115"/>
    <mergeCell ref="B122:F122"/>
    <mergeCell ref="B123:B124"/>
    <mergeCell ref="C128:F128"/>
    <mergeCell ref="B102:F102"/>
    <mergeCell ref="C72:F72"/>
    <mergeCell ref="B73:B74"/>
    <mergeCell ref="B81:F81"/>
    <mergeCell ref="B82:B83"/>
    <mergeCell ref="B87:B89"/>
    <mergeCell ref="C87:F89"/>
    <mergeCell ref="C90:F90"/>
    <mergeCell ref="C91:F91"/>
    <mergeCell ref="C92:F92"/>
    <mergeCell ref="C93:F93"/>
    <mergeCell ref="B94:B95"/>
    <mergeCell ref="C71:F71"/>
    <mergeCell ref="B33:B34"/>
    <mergeCell ref="C44:F44"/>
    <mergeCell ref="C45:F45"/>
    <mergeCell ref="C46:F46"/>
    <mergeCell ref="B48:B49"/>
    <mergeCell ref="B55:F55"/>
    <mergeCell ref="B56:B57"/>
    <mergeCell ref="B67:F67"/>
    <mergeCell ref="B68:F68"/>
    <mergeCell ref="C69:F69"/>
    <mergeCell ref="C70:F70"/>
    <mergeCell ref="B32:F32"/>
    <mergeCell ref="B8:F10"/>
    <mergeCell ref="C11:F11"/>
    <mergeCell ref="B12:B13"/>
    <mergeCell ref="C15:F15"/>
    <mergeCell ref="B16:F16"/>
    <mergeCell ref="B19:F19"/>
    <mergeCell ref="B20:F20"/>
    <mergeCell ref="C21:F21"/>
    <mergeCell ref="C22:F22"/>
    <mergeCell ref="C23:F23"/>
    <mergeCell ref="B24:B25"/>
    <mergeCell ref="B7:F7"/>
    <mergeCell ref="B2:F2"/>
    <mergeCell ref="C4:F4"/>
    <mergeCell ref="C5:F5"/>
    <mergeCell ref="C6:F6"/>
  </mergeCells>
  <printOptions horizontalCentered="1" verticalCentered="1"/>
  <pageMargins left="0.7" right="0.7" top="0.75" bottom="0.75" header="0.3" footer="0.3"/>
  <pageSetup scale="55" orientation="landscape" r:id="rId1"/>
  <rowBreaks count="2" manualBreakCount="2">
    <brk id="66" max="16383" man="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AG852"/>
  <sheetViews>
    <sheetView topLeftCell="A339" zoomScaleNormal="100" workbookViewId="0">
      <selection activeCell="N10" sqref="N10"/>
    </sheetView>
  </sheetViews>
  <sheetFormatPr defaultRowHeight="15" x14ac:dyDescent="0.25"/>
  <cols>
    <col min="1" max="1" width="12.7109375" style="152" customWidth="1"/>
    <col min="2" max="2" width="45.28515625" style="152" customWidth="1"/>
    <col min="3" max="5" width="21.42578125" style="152" customWidth="1"/>
    <col min="6" max="6" width="35.7109375" style="152" customWidth="1"/>
    <col min="7" max="7" width="21" style="152" customWidth="1"/>
    <col min="8" max="8" width="18.42578125" style="152" customWidth="1"/>
    <col min="9" max="9" width="11" style="152" customWidth="1"/>
    <col min="10" max="10" width="11" style="152" bestFit="1" customWidth="1"/>
    <col min="11" max="16384" width="9.140625" style="152"/>
  </cols>
  <sheetData>
    <row r="2" spans="2:7" ht="18" customHeight="1" x14ac:dyDescent="0.25">
      <c r="B2" s="762" t="s">
        <v>0</v>
      </c>
      <c r="C2" s="762"/>
      <c r="D2" s="762"/>
      <c r="E2" s="762"/>
      <c r="F2" s="762"/>
      <c r="G2" s="1"/>
    </row>
    <row r="3" spans="2:7" ht="15.75" thickBot="1" x14ac:dyDescent="0.3"/>
    <row r="4" spans="2:7" ht="15.75" thickBot="1" x14ac:dyDescent="0.3">
      <c r="B4" s="127" t="s">
        <v>2</v>
      </c>
      <c r="C4" s="851" t="s">
        <v>568</v>
      </c>
      <c r="D4" s="851"/>
      <c r="E4" s="851"/>
      <c r="F4" s="851"/>
    </row>
    <row r="5" spans="2:7" ht="15.75" thickBot="1" x14ac:dyDescent="0.3">
      <c r="B5" s="127" t="s">
        <v>3</v>
      </c>
      <c r="C5" s="852" t="s">
        <v>436</v>
      </c>
      <c r="D5" s="853"/>
      <c r="E5" s="853"/>
      <c r="F5" s="854"/>
    </row>
    <row r="6" spans="2:7" ht="15.75" thickBot="1" x14ac:dyDescent="0.3">
      <c r="B6" s="127" t="s">
        <v>5</v>
      </c>
      <c r="C6" s="804" t="s">
        <v>6</v>
      </c>
      <c r="D6" s="805"/>
      <c r="E6" s="805"/>
      <c r="F6" s="806"/>
    </row>
    <row r="7" spans="2:7" ht="15.75" thickBot="1" x14ac:dyDescent="0.3">
      <c r="B7" s="855" t="s">
        <v>7</v>
      </c>
      <c r="C7" s="856"/>
      <c r="D7" s="856"/>
      <c r="E7" s="856"/>
      <c r="F7" s="857"/>
    </row>
    <row r="8" spans="2:7" ht="15.75" thickBot="1" x14ac:dyDescent="0.3">
      <c r="B8" s="858" t="s">
        <v>569</v>
      </c>
      <c r="C8" s="859"/>
      <c r="D8" s="859"/>
      <c r="E8" s="859"/>
      <c r="F8" s="860"/>
    </row>
    <row r="9" spans="2:7" ht="36.75" customHeight="1" thickBot="1" x14ac:dyDescent="0.3">
      <c r="B9" s="858"/>
      <c r="C9" s="859"/>
      <c r="D9" s="859"/>
      <c r="E9" s="859"/>
      <c r="F9" s="860"/>
    </row>
    <row r="10" spans="2:7" ht="30.75" customHeight="1" thickBot="1" x14ac:dyDescent="0.3">
      <c r="B10" s="858"/>
      <c r="C10" s="859"/>
      <c r="D10" s="859"/>
      <c r="E10" s="859"/>
      <c r="F10" s="860"/>
    </row>
    <row r="11" spans="2:7" ht="80.25" customHeight="1" thickBot="1" x14ac:dyDescent="0.3">
      <c r="B11" s="126" t="s">
        <v>8</v>
      </c>
      <c r="C11" s="905" t="s">
        <v>570</v>
      </c>
      <c r="D11" s="846"/>
      <c r="E11" s="846"/>
      <c r="F11" s="847"/>
    </row>
    <row r="12" spans="2:7" ht="23.25" customHeight="1" x14ac:dyDescent="0.25">
      <c r="B12" s="810" t="s">
        <v>102</v>
      </c>
      <c r="C12" s="125">
        <v>2018</v>
      </c>
      <c r="D12" s="125">
        <v>2019</v>
      </c>
      <c r="E12" s="125">
        <v>2020</v>
      </c>
      <c r="F12" s="125">
        <v>2021</v>
      </c>
    </row>
    <row r="13" spans="2:7" ht="15.75" thickBot="1" x14ac:dyDescent="0.3">
      <c r="B13" s="811"/>
      <c r="C13" s="124" t="s">
        <v>10</v>
      </c>
      <c r="D13" s="124" t="s">
        <v>11</v>
      </c>
      <c r="E13" s="124" t="s">
        <v>11</v>
      </c>
      <c r="F13" s="124" t="s">
        <v>11</v>
      </c>
    </row>
    <row r="14" spans="2:7" ht="15.75" thickBot="1" x14ac:dyDescent="0.3">
      <c r="B14" s="149" t="s">
        <v>828</v>
      </c>
      <c r="C14" s="117"/>
      <c r="D14" s="117"/>
      <c r="E14" s="117"/>
      <c r="F14" s="117"/>
    </row>
    <row r="15" spans="2:7" ht="15.75" thickBot="1" x14ac:dyDescent="0.3">
      <c r="B15" s="114" t="s">
        <v>571</v>
      </c>
      <c r="C15" s="117"/>
      <c r="D15" s="117"/>
      <c r="E15" s="117"/>
      <c r="F15" s="117"/>
    </row>
    <row r="16" spans="2:7" ht="15.75" thickBot="1" x14ac:dyDescent="0.3">
      <c r="B16" s="114" t="s">
        <v>572</v>
      </c>
      <c r="C16" s="117"/>
      <c r="D16" s="117"/>
      <c r="E16" s="117"/>
      <c r="F16" s="117"/>
    </row>
    <row r="17" spans="2:11" ht="15.75" thickBot="1" x14ac:dyDescent="0.3">
      <c r="B17" s="114" t="s">
        <v>829</v>
      </c>
      <c r="C17" s="117"/>
      <c r="D17" s="117"/>
      <c r="E17" s="117"/>
      <c r="F17" s="117"/>
    </row>
    <row r="18" spans="2:11" ht="15.75" thickBot="1" x14ac:dyDescent="0.3">
      <c r="B18" s="114" t="s">
        <v>573</v>
      </c>
      <c r="C18" s="117"/>
      <c r="D18" s="117"/>
      <c r="E18" s="117"/>
      <c r="F18" s="117"/>
    </row>
    <row r="19" spans="2:11" ht="27.75" customHeight="1" thickBot="1" x14ac:dyDescent="0.3">
      <c r="B19" s="360" t="s">
        <v>12</v>
      </c>
      <c r="C19" s="894" t="s">
        <v>574</v>
      </c>
      <c r="D19" s="895"/>
      <c r="E19" s="895"/>
      <c r="F19" s="896"/>
    </row>
    <row r="20" spans="2:11" ht="23.25" customHeight="1" thickBot="1" x14ac:dyDescent="0.3">
      <c r="B20" s="804" t="s">
        <v>103</v>
      </c>
      <c r="C20" s="805"/>
      <c r="D20" s="805"/>
      <c r="E20" s="805"/>
      <c r="F20" s="806"/>
      <c r="I20" s="159"/>
      <c r="K20" s="159"/>
    </row>
    <row r="21" spans="2:11" ht="15.75" thickBot="1" x14ac:dyDescent="0.3">
      <c r="B21" s="149" t="s">
        <v>575</v>
      </c>
      <c r="C21" s="117"/>
      <c r="D21" s="117"/>
      <c r="E21" s="117"/>
      <c r="F21" s="117"/>
    </row>
    <row r="22" spans="2:11" ht="15.75" thickBot="1" x14ac:dyDescent="0.3">
      <c r="B22" s="114" t="s">
        <v>576</v>
      </c>
      <c r="C22" s="117"/>
      <c r="D22" s="117"/>
      <c r="E22" s="117"/>
      <c r="F22" s="117"/>
    </row>
    <row r="23" spans="2:11" ht="30.75" thickBot="1" x14ac:dyDescent="0.3">
      <c r="B23" s="114" t="s">
        <v>577</v>
      </c>
      <c r="C23" s="117"/>
      <c r="D23" s="117"/>
      <c r="E23" s="117"/>
      <c r="F23" s="117"/>
    </row>
    <row r="24" spans="2:11" ht="15.75" thickBot="1" x14ac:dyDescent="0.3">
      <c r="B24" s="833" t="s">
        <v>14</v>
      </c>
      <c r="C24" s="834"/>
      <c r="D24" s="834"/>
      <c r="E24" s="834"/>
      <c r="F24" s="835"/>
    </row>
    <row r="25" spans="2:11" ht="15.75" thickBot="1" x14ac:dyDescent="0.3">
      <c r="B25" s="833" t="s">
        <v>104</v>
      </c>
      <c r="C25" s="834"/>
      <c r="D25" s="834"/>
      <c r="E25" s="834"/>
      <c r="F25" s="835"/>
    </row>
    <row r="26" spans="2:11" ht="15.75" thickBot="1" x14ac:dyDescent="0.3">
      <c r="B26" s="116" t="s">
        <v>105</v>
      </c>
      <c r="C26" s="833" t="s">
        <v>578</v>
      </c>
      <c r="D26" s="834"/>
      <c r="E26" s="834"/>
      <c r="F26" s="835"/>
    </row>
    <row r="27" spans="2:11" ht="93.6" customHeight="1" thickBot="1" x14ac:dyDescent="0.3">
      <c r="B27" s="114" t="s">
        <v>17</v>
      </c>
      <c r="C27" s="848" t="s">
        <v>579</v>
      </c>
      <c r="D27" s="849"/>
      <c r="E27" s="849"/>
      <c r="F27" s="850"/>
    </row>
    <row r="28" spans="2:11" ht="36.75" customHeight="1" thickBot="1" x14ac:dyDescent="0.3">
      <c r="B28" s="114" t="s">
        <v>18</v>
      </c>
      <c r="C28" s="882" t="s">
        <v>580</v>
      </c>
      <c r="D28" s="883"/>
      <c r="E28" s="883"/>
      <c r="F28" s="884"/>
    </row>
    <row r="29" spans="2:11" ht="12.75" customHeight="1" x14ac:dyDescent="0.25">
      <c r="B29" s="810"/>
      <c r="C29" s="112">
        <v>2018</v>
      </c>
      <c r="D29" s="112">
        <v>2019</v>
      </c>
      <c r="E29" s="112">
        <v>2020</v>
      </c>
      <c r="F29" s="112">
        <v>2021</v>
      </c>
    </row>
    <row r="30" spans="2:11" ht="16.149999999999999" customHeight="1" thickBot="1" x14ac:dyDescent="0.3">
      <c r="B30" s="811"/>
      <c r="C30" s="111" t="s">
        <v>10</v>
      </c>
      <c r="D30" s="111" t="s">
        <v>11</v>
      </c>
      <c r="E30" s="111" t="s">
        <v>11</v>
      </c>
      <c r="F30" s="111" t="s">
        <v>11</v>
      </c>
    </row>
    <row r="31" spans="2:11" ht="15.75" thickBot="1" x14ac:dyDescent="0.3">
      <c r="B31" s="114" t="s">
        <v>19</v>
      </c>
      <c r="C31" s="346"/>
      <c r="D31" s="346"/>
      <c r="E31" s="346"/>
      <c r="F31" s="346"/>
    </row>
    <row r="32" spans="2:11" ht="15.75" thickBot="1" x14ac:dyDescent="0.3">
      <c r="B32" s="114" t="s">
        <v>20</v>
      </c>
      <c r="C32" s="115">
        <v>17395</v>
      </c>
      <c r="D32" s="115">
        <v>17650</v>
      </c>
      <c r="E32" s="115">
        <v>17670</v>
      </c>
      <c r="F32" s="115">
        <v>17670</v>
      </c>
    </row>
    <row r="33" spans="2:12" ht="15.75" thickBot="1" x14ac:dyDescent="0.3">
      <c r="B33" s="114" t="s">
        <v>21</v>
      </c>
      <c r="C33" s="115" t="e">
        <f>C32/C31</f>
        <v>#DIV/0!</v>
      </c>
      <c r="D33" s="115" t="e">
        <f t="shared" ref="D33:F33" si="0">D32/D31</f>
        <v>#DIV/0!</v>
      </c>
      <c r="E33" s="115" t="e">
        <f t="shared" si="0"/>
        <v>#DIV/0!</v>
      </c>
      <c r="F33" s="115" t="e">
        <f t="shared" si="0"/>
        <v>#DIV/0!</v>
      </c>
    </row>
    <row r="34" spans="2:12" ht="15.75" thickBot="1" x14ac:dyDescent="0.3">
      <c r="B34" s="114" t="s">
        <v>22</v>
      </c>
      <c r="C34" s="148" t="s">
        <v>23</v>
      </c>
      <c r="D34" s="113" t="e">
        <f>D31/C31-1</f>
        <v>#DIV/0!</v>
      </c>
      <c r="E34" s="113" t="e">
        <f t="shared" ref="E34:F36" si="1">E31/D31-1</f>
        <v>#DIV/0!</v>
      </c>
      <c r="F34" s="113" t="e">
        <f t="shared" si="1"/>
        <v>#DIV/0!</v>
      </c>
      <c r="H34" s="163"/>
      <c r="I34" s="163"/>
      <c r="J34" s="163"/>
      <c r="K34" s="163"/>
      <c r="L34" s="163"/>
    </row>
    <row r="35" spans="2:12" ht="15.75" thickBot="1" x14ac:dyDescent="0.3">
      <c r="B35" s="114" t="s">
        <v>24</v>
      </c>
      <c r="C35" s="148" t="s">
        <v>23</v>
      </c>
      <c r="D35" s="113">
        <f>D32/C32-1</f>
        <v>1.4659384880712834E-2</v>
      </c>
      <c r="E35" s="113">
        <f t="shared" si="1"/>
        <v>1.1331444759206111E-3</v>
      </c>
      <c r="F35" s="113">
        <f t="shared" si="1"/>
        <v>0</v>
      </c>
    </row>
    <row r="36" spans="2:12" ht="15.75" thickBot="1" x14ac:dyDescent="0.3">
      <c r="B36" s="114" t="s">
        <v>25</v>
      </c>
      <c r="C36" s="148" t="s">
        <v>23</v>
      </c>
      <c r="D36" s="113" t="e">
        <f>D33/C33-1</f>
        <v>#DIV/0!</v>
      </c>
      <c r="E36" s="113" t="e">
        <f t="shared" si="1"/>
        <v>#DIV/0!</v>
      </c>
      <c r="F36" s="113" t="e">
        <f t="shared" si="1"/>
        <v>#DIV/0!</v>
      </c>
    </row>
    <row r="37" spans="2:12" ht="15.75" thickBot="1" x14ac:dyDescent="0.3">
      <c r="B37" s="812" t="s">
        <v>630</v>
      </c>
      <c r="C37" s="813"/>
      <c r="D37" s="813"/>
      <c r="E37" s="813"/>
      <c r="F37" s="814"/>
    </row>
    <row r="38" spans="2:12" ht="12.75" customHeight="1" x14ac:dyDescent="0.25">
      <c r="B38" s="810"/>
      <c r="C38" s="112">
        <v>2018</v>
      </c>
      <c r="D38" s="112">
        <v>2019</v>
      </c>
      <c r="E38" s="112">
        <v>2020</v>
      </c>
      <c r="F38" s="112">
        <v>2021</v>
      </c>
    </row>
    <row r="39" spans="2:12" ht="17.45" customHeight="1" thickBot="1" x14ac:dyDescent="0.3">
      <c r="B39" s="811"/>
      <c r="C39" s="111" t="s">
        <v>10</v>
      </c>
      <c r="D39" s="111" t="s">
        <v>11</v>
      </c>
      <c r="E39" s="111" t="s">
        <v>11</v>
      </c>
      <c r="F39" s="111" t="s">
        <v>11</v>
      </c>
    </row>
    <row r="40" spans="2:12" ht="15.75" thickBot="1" x14ac:dyDescent="0.3">
      <c r="B40" s="100" t="s">
        <v>26</v>
      </c>
      <c r="C40" s="93">
        <v>10560</v>
      </c>
      <c r="D40" s="93">
        <v>10800</v>
      </c>
      <c r="E40" s="93">
        <v>10800</v>
      </c>
      <c r="F40" s="93">
        <v>10800</v>
      </c>
    </row>
    <row r="41" spans="2:12" ht="15.75" thickBot="1" x14ac:dyDescent="0.3">
      <c r="B41" s="100" t="s">
        <v>28</v>
      </c>
      <c r="C41" s="93">
        <v>1650</v>
      </c>
      <c r="D41" s="93">
        <v>1670</v>
      </c>
      <c r="E41" s="93">
        <v>1670</v>
      </c>
      <c r="F41" s="93">
        <v>1670</v>
      </c>
    </row>
    <row r="42" spans="2:12" ht="15.75" thickBot="1" x14ac:dyDescent="0.3">
      <c r="B42" s="100" t="s">
        <v>30</v>
      </c>
      <c r="C42" s="115">
        <v>5185</v>
      </c>
      <c r="D42" s="115">
        <v>5180</v>
      </c>
      <c r="E42" s="115">
        <v>5200</v>
      </c>
      <c r="F42" s="115">
        <v>5200</v>
      </c>
    </row>
    <row r="43" spans="2:12" ht="15.75" hidden="1" thickBot="1" x14ac:dyDescent="0.3">
      <c r="B43" s="100" t="s">
        <v>32</v>
      </c>
      <c r="C43" s="98">
        <v>0</v>
      </c>
      <c r="D43" s="98">
        <v>0</v>
      </c>
      <c r="E43" s="98">
        <v>0</v>
      </c>
      <c r="F43" s="98">
        <v>0</v>
      </c>
    </row>
    <row r="44" spans="2:12" ht="15.75" hidden="1" thickBot="1" x14ac:dyDescent="0.3">
      <c r="B44" s="100" t="s">
        <v>34</v>
      </c>
      <c r="C44" s="98">
        <v>0</v>
      </c>
      <c r="D44" s="98">
        <v>0</v>
      </c>
      <c r="E44" s="98">
        <v>0</v>
      </c>
      <c r="F44" s="98">
        <v>0</v>
      </c>
    </row>
    <row r="45" spans="2:12" ht="15.75" hidden="1" thickBot="1" x14ac:dyDescent="0.3">
      <c r="B45" s="100" t="s">
        <v>36</v>
      </c>
      <c r="C45" s="98">
        <v>0</v>
      </c>
      <c r="D45" s="98">
        <v>0</v>
      </c>
      <c r="E45" s="98">
        <v>0</v>
      </c>
      <c r="F45" s="98">
        <v>0</v>
      </c>
    </row>
    <row r="46" spans="2:12" ht="15.75" hidden="1" thickBot="1" x14ac:dyDescent="0.3">
      <c r="B46" s="100" t="s">
        <v>38</v>
      </c>
      <c r="C46" s="98">
        <v>0</v>
      </c>
      <c r="D46" s="98">
        <v>0</v>
      </c>
      <c r="E46" s="98">
        <v>0</v>
      </c>
      <c r="F46" s="98">
        <v>0</v>
      </c>
    </row>
    <row r="47" spans="2:12" ht="15.75" thickBot="1" x14ac:dyDescent="0.3">
      <c r="B47" s="119" t="s">
        <v>40</v>
      </c>
      <c r="C47" s="98">
        <f>C46+C45+C44+C43+C42+C41+C40</f>
        <v>17395</v>
      </c>
      <c r="D47" s="98">
        <f>D46+D45+D44+D43+D42+D41+D40</f>
        <v>17650</v>
      </c>
      <c r="E47" s="98">
        <f>E46+E45+E44+E43+E42+E41+E40</f>
        <v>17670</v>
      </c>
      <c r="F47" s="98">
        <f>F46+F45+F44+F43+F42+F41+F40</f>
        <v>17670</v>
      </c>
    </row>
    <row r="48" spans="2:12" ht="15.75" thickBot="1" x14ac:dyDescent="0.3">
      <c r="B48" s="96" t="s">
        <v>41</v>
      </c>
      <c r="C48" s="95">
        <f>IF(C47-C32=0,0,"Error")</f>
        <v>0</v>
      </c>
      <c r="D48" s="95">
        <f>IF(D47-D32=0,0,"Error")</f>
        <v>0</v>
      </c>
      <c r="E48" s="95">
        <f>IF(E47-E32=0,0,"Error")</f>
        <v>0</v>
      </c>
      <c r="F48" s="95">
        <f>IF(F47-F32=0,0,"Error")</f>
        <v>0</v>
      </c>
    </row>
    <row r="49" spans="2:6" ht="18" customHeight="1" thickBot="1" x14ac:dyDescent="0.3">
      <c r="B49" s="122" t="s">
        <v>42</v>
      </c>
      <c r="C49" s="833" t="s">
        <v>581</v>
      </c>
      <c r="D49" s="834"/>
      <c r="E49" s="834"/>
      <c r="F49" s="835"/>
    </row>
    <row r="50" spans="2:6" ht="85.5" customHeight="1" thickBot="1" x14ac:dyDescent="0.3">
      <c r="B50" s="114" t="s">
        <v>17</v>
      </c>
      <c r="C50" s="848" t="s">
        <v>582</v>
      </c>
      <c r="D50" s="849"/>
      <c r="E50" s="849"/>
      <c r="F50" s="850"/>
    </row>
    <row r="51" spans="2:6" ht="15.75" thickBot="1" x14ac:dyDescent="0.3">
      <c r="B51" s="114" t="s">
        <v>18</v>
      </c>
      <c r="C51" s="807" t="s">
        <v>583</v>
      </c>
      <c r="D51" s="808"/>
      <c r="E51" s="808"/>
      <c r="F51" s="809"/>
    </row>
    <row r="52" spans="2:6" ht="15.75" thickBot="1" x14ac:dyDescent="0.3">
      <c r="B52" s="114" t="s">
        <v>19</v>
      </c>
      <c r="C52" s="115">
        <v>4</v>
      </c>
      <c r="D52" s="115">
        <v>4</v>
      </c>
      <c r="E52" s="115">
        <v>4</v>
      </c>
      <c r="F52" s="115">
        <v>4</v>
      </c>
    </row>
    <row r="53" spans="2:6" ht="12.75" customHeight="1" x14ac:dyDescent="0.25">
      <c r="B53" s="810"/>
      <c r="C53" s="112">
        <v>2018</v>
      </c>
      <c r="D53" s="112">
        <v>2019</v>
      </c>
      <c r="E53" s="112">
        <v>2020</v>
      </c>
      <c r="F53" s="112">
        <v>2021</v>
      </c>
    </row>
    <row r="54" spans="2:6" ht="13.15" customHeight="1" thickBot="1" x14ac:dyDescent="0.3">
      <c r="B54" s="811"/>
      <c r="C54" s="111" t="s">
        <v>10</v>
      </c>
      <c r="D54" s="111" t="s">
        <v>11</v>
      </c>
      <c r="E54" s="111" t="s">
        <v>11</v>
      </c>
      <c r="F54" s="111" t="s">
        <v>11</v>
      </c>
    </row>
    <row r="55" spans="2:6" ht="15.75" thickBot="1" x14ac:dyDescent="0.3">
      <c r="B55" s="114" t="s">
        <v>20</v>
      </c>
      <c r="C55" s="115">
        <v>13700</v>
      </c>
      <c r="D55" s="115">
        <v>14074</v>
      </c>
      <c r="E55" s="115">
        <v>14174</v>
      </c>
      <c r="F55" s="115">
        <v>14174</v>
      </c>
    </row>
    <row r="56" spans="2:6" ht="15.75" thickBot="1" x14ac:dyDescent="0.3">
      <c r="B56" s="114" t="s">
        <v>21</v>
      </c>
      <c r="C56" s="115">
        <f>C55/C52</f>
        <v>3425</v>
      </c>
      <c r="D56" s="115">
        <f>D55/D52</f>
        <v>3518.5</v>
      </c>
      <c r="E56" s="115">
        <f>E55/E52</f>
        <v>3543.5</v>
      </c>
      <c r="F56" s="115">
        <f>F55/F52</f>
        <v>3543.5</v>
      </c>
    </row>
    <row r="57" spans="2:6" ht="15.75" thickBot="1" x14ac:dyDescent="0.3">
      <c r="B57" s="114" t="s">
        <v>22</v>
      </c>
      <c r="C57" s="148"/>
      <c r="D57" s="113">
        <f>D52/C52-1</f>
        <v>0</v>
      </c>
      <c r="E57" s="113">
        <f>E52/D52-1</f>
        <v>0</v>
      </c>
      <c r="F57" s="113">
        <f>F52/E52-1</f>
        <v>0</v>
      </c>
    </row>
    <row r="58" spans="2:6" ht="15.75" thickBot="1" x14ac:dyDescent="0.3">
      <c r="B58" s="114" t="s">
        <v>24</v>
      </c>
      <c r="C58" s="148"/>
      <c r="D58" s="113">
        <f>D55/C55-1</f>
        <v>2.7299270072992599E-2</v>
      </c>
      <c r="E58" s="113">
        <f t="shared" ref="E58:F59" si="2">E55/D55-1</f>
        <v>7.105300554213434E-3</v>
      </c>
      <c r="F58" s="113">
        <f t="shared" si="2"/>
        <v>0</v>
      </c>
    </row>
    <row r="59" spans="2:6" ht="15.75" thickBot="1" x14ac:dyDescent="0.3">
      <c r="B59" s="114" t="s">
        <v>25</v>
      </c>
      <c r="C59" s="148"/>
      <c r="D59" s="113">
        <f>D56/C56-1</f>
        <v>2.7299270072992599E-2</v>
      </c>
      <c r="E59" s="113">
        <f t="shared" si="2"/>
        <v>7.105300554213434E-3</v>
      </c>
      <c r="F59" s="113">
        <f t="shared" si="2"/>
        <v>0</v>
      </c>
    </row>
    <row r="60" spans="2:6" ht="24.75" customHeight="1" thickBot="1" x14ac:dyDescent="0.3">
      <c r="B60" s="812" t="s">
        <v>825</v>
      </c>
      <c r="C60" s="813"/>
      <c r="D60" s="813"/>
      <c r="E60" s="813"/>
      <c r="F60" s="814"/>
    </row>
    <row r="61" spans="2:6" ht="12.75" customHeight="1" x14ac:dyDescent="0.25">
      <c r="B61" s="810"/>
      <c r="C61" s="112">
        <v>2018</v>
      </c>
      <c r="D61" s="112">
        <v>2019</v>
      </c>
      <c r="E61" s="112">
        <v>2020</v>
      </c>
      <c r="F61" s="112">
        <v>2021</v>
      </c>
    </row>
    <row r="62" spans="2:6" ht="24" customHeight="1" thickBot="1" x14ac:dyDescent="0.3">
      <c r="B62" s="811"/>
      <c r="C62" s="111" t="s">
        <v>10</v>
      </c>
      <c r="D62" s="111" t="s">
        <v>11</v>
      </c>
      <c r="E62" s="111" t="s">
        <v>11</v>
      </c>
      <c r="F62" s="111" t="s">
        <v>11</v>
      </c>
    </row>
    <row r="63" spans="2:6" ht="24.75" customHeight="1" thickBot="1" x14ac:dyDescent="0.3">
      <c r="B63" s="100" t="s">
        <v>26</v>
      </c>
      <c r="C63" s="93">
        <v>11800</v>
      </c>
      <c r="D63" s="93">
        <v>12000</v>
      </c>
      <c r="E63" s="93">
        <v>12100</v>
      </c>
      <c r="F63" s="93">
        <v>12100</v>
      </c>
    </row>
    <row r="64" spans="2:6" ht="45.6" customHeight="1" thickBot="1" x14ac:dyDescent="0.3">
      <c r="B64" s="100" t="s">
        <v>28</v>
      </c>
      <c r="C64" s="93">
        <v>1900</v>
      </c>
      <c r="D64" s="93">
        <v>2004</v>
      </c>
      <c r="E64" s="93">
        <v>2004</v>
      </c>
      <c r="F64" s="93">
        <v>2004</v>
      </c>
    </row>
    <row r="65" spans="2:33" ht="29.45" customHeight="1" thickBot="1" x14ac:dyDescent="0.3">
      <c r="B65" s="100" t="s">
        <v>30</v>
      </c>
      <c r="C65" s="98">
        <v>0</v>
      </c>
      <c r="D65" s="93">
        <v>70</v>
      </c>
      <c r="E65" s="93">
        <v>70</v>
      </c>
      <c r="F65" s="93">
        <v>70</v>
      </c>
    </row>
    <row r="66" spans="2:33" ht="15.75" hidden="1" thickBot="1" x14ac:dyDescent="0.3">
      <c r="B66" s="100" t="s">
        <v>32</v>
      </c>
      <c r="C66" s="98"/>
      <c r="D66" s="93"/>
      <c r="E66" s="93"/>
      <c r="F66" s="93"/>
    </row>
    <row r="67" spans="2:33" ht="15.75" hidden="1" thickBot="1" x14ac:dyDescent="0.3">
      <c r="B67" s="100" t="s">
        <v>34</v>
      </c>
      <c r="C67" s="98"/>
      <c r="D67" s="93"/>
      <c r="E67" s="93"/>
      <c r="F67" s="93"/>
    </row>
    <row r="68" spans="2:33" ht="15.75" hidden="1" thickBot="1" x14ac:dyDescent="0.3">
      <c r="B68" s="100" t="s">
        <v>36</v>
      </c>
      <c r="C68" s="98"/>
      <c r="D68" s="93"/>
      <c r="E68" s="93"/>
      <c r="F68" s="93"/>
    </row>
    <row r="69" spans="2:33" ht="15.75" hidden="1" thickBot="1" x14ac:dyDescent="0.3">
      <c r="B69" s="100" t="s">
        <v>38</v>
      </c>
      <c r="C69" s="98"/>
      <c r="D69" s="93"/>
      <c r="E69" s="93"/>
      <c r="F69" s="93"/>
    </row>
    <row r="70" spans="2:33" ht="15.75" thickBot="1" x14ac:dyDescent="0.3">
      <c r="B70" s="347" t="s">
        <v>43</v>
      </c>
      <c r="C70" s="98">
        <f>C69+C68+C67+C66+C65+C64+C63</f>
        <v>13700</v>
      </c>
      <c r="D70" s="98">
        <f>D69+D68+D67+D66+D65+D64+D63</f>
        <v>14074</v>
      </c>
      <c r="E70" s="98">
        <f>E69+E68+E67+E66+E65+E64+E63</f>
        <v>14174</v>
      </c>
      <c r="F70" s="98">
        <f>F69+F68+F67+F66+F65+F64+F63</f>
        <v>14174</v>
      </c>
    </row>
    <row r="71" spans="2:33" ht="17.25" customHeight="1" thickBot="1" x14ac:dyDescent="0.3">
      <c r="B71" s="96" t="s">
        <v>41</v>
      </c>
      <c r="C71" s="95">
        <f>IF(C70-C55=0,0,"Error")</f>
        <v>0</v>
      </c>
      <c r="D71" s="95">
        <f>IF(D70-D55=0,0,"Error")</f>
        <v>0</v>
      </c>
      <c r="E71" s="95">
        <f>IF(E70-E55=0,0,"Error")</f>
        <v>0</v>
      </c>
      <c r="F71" s="95">
        <f>IF(F70-F55=0,0,"Error")</f>
        <v>0</v>
      </c>
    </row>
    <row r="72" spans="2:33" s="348" customFormat="1" ht="31.9" customHeight="1" thickBot="1" x14ac:dyDescent="0.3">
      <c r="B72" s="116" t="s">
        <v>44</v>
      </c>
      <c r="C72" s="812" t="s">
        <v>584</v>
      </c>
      <c r="D72" s="813"/>
      <c r="E72" s="813"/>
      <c r="F72" s="814"/>
      <c r="G72" s="152"/>
      <c r="H72" s="152"/>
      <c r="I72" s="152"/>
      <c r="J72" s="152"/>
      <c r="K72" s="152"/>
      <c r="L72" s="152"/>
      <c r="M72" s="152"/>
      <c r="N72" s="152"/>
      <c r="O72" s="152"/>
      <c r="P72" s="152"/>
      <c r="Q72" s="152"/>
      <c r="R72" s="152"/>
      <c r="S72" s="152"/>
      <c r="T72" s="152"/>
      <c r="U72" s="152"/>
      <c r="V72" s="152"/>
      <c r="W72" s="152"/>
      <c r="X72" s="152"/>
      <c r="Y72" s="152"/>
      <c r="Z72" s="152"/>
      <c r="AA72" s="152"/>
      <c r="AB72" s="152"/>
      <c r="AC72" s="152"/>
      <c r="AD72" s="152"/>
      <c r="AE72" s="152"/>
      <c r="AF72" s="152"/>
      <c r="AG72" s="152"/>
    </row>
    <row r="73" spans="2:33" s="348" customFormat="1" ht="30.75" customHeight="1" thickBot="1" x14ac:dyDescent="0.3">
      <c r="B73" s="114" t="s">
        <v>17</v>
      </c>
      <c r="C73" s="848" t="s">
        <v>585</v>
      </c>
      <c r="D73" s="849"/>
      <c r="E73" s="849"/>
      <c r="F73" s="850"/>
      <c r="G73" s="152"/>
      <c r="H73" s="152"/>
      <c r="I73" s="152"/>
      <c r="J73" s="152"/>
      <c r="K73" s="152"/>
      <c r="L73" s="152"/>
      <c r="M73" s="152"/>
      <c r="N73" s="152"/>
      <c r="O73" s="152"/>
      <c r="P73" s="152"/>
      <c r="Q73" s="152"/>
      <c r="R73" s="152"/>
      <c r="S73" s="152"/>
      <c r="T73" s="152"/>
      <c r="U73" s="152"/>
      <c r="V73" s="152"/>
      <c r="W73" s="152"/>
      <c r="X73" s="152"/>
      <c r="Y73" s="152"/>
      <c r="Z73" s="152"/>
      <c r="AA73" s="152"/>
      <c r="AB73" s="152"/>
      <c r="AC73" s="152"/>
      <c r="AD73" s="152"/>
      <c r="AE73" s="152"/>
      <c r="AF73" s="152"/>
      <c r="AG73" s="152"/>
    </row>
    <row r="74" spans="2:33" s="348" customFormat="1" ht="17.25" customHeight="1" thickBot="1" x14ac:dyDescent="0.3">
      <c r="B74" s="114" t="s">
        <v>18</v>
      </c>
      <c r="C74" s="882" t="s">
        <v>583</v>
      </c>
      <c r="D74" s="903"/>
      <c r="E74" s="903"/>
      <c r="F74" s="904"/>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row>
    <row r="75" spans="2:33" s="348" customFormat="1" ht="17.25" customHeight="1" x14ac:dyDescent="0.25">
      <c r="B75" s="810"/>
      <c r="C75" s="112">
        <v>2018</v>
      </c>
      <c r="D75" s="112">
        <v>2019</v>
      </c>
      <c r="E75" s="112">
        <v>2020</v>
      </c>
      <c r="F75" s="112">
        <v>2021</v>
      </c>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row>
    <row r="76" spans="2:33" s="348" customFormat="1" ht="17.25" customHeight="1" thickBot="1" x14ac:dyDescent="0.3">
      <c r="B76" s="811"/>
      <c r="C76" s="111" t="s">
        <v>10</v>
      </c>
      <c r="D76" s="111" t="s">
        <v>11</v>
      </c>
      <c r="E76" s="111" t="s">
        <v>11</v>
      </c>
      <c r="F76" s="111" t="s">
        <v>11</v>
      </c>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row>
    <row r="77" spans="2:33" s="348" customFormat="1" ht="17.25" customHeight="1" thickBot="1" x14ac:dyDescent="0.3">
      <c r="B77" s="114" t="s">
        <v>19</v>
      </c>
      <c r="C77" s="346"/>
      <c r="D77" s="346"/>
      <c r="E77" s="346"/>
      <c r="F77" s="346"/>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row>
    <row r="78" spans="2:33" s="348" customFormat="1" ht="17.25" customHeight="1" thickBot="1" x14ac:dyDescent="0.3">
      <c r="B78" s="114" t="s">
        <v>20</v>
      </c>
      <c r="C78" s="115">
        <v>30208</v>
      </c>
      <c r="D78" s="115">
        <v>29456</v>
      </c>
      <c r="E78" s="115">
        <v>30950</v>
      </c>
      <c r="F78" s="115">
        <v>30950</v>
      </c>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2"/>
      <c r="AE78" s="152"/>
      <c r="AF78" s="152"/>
      <c r="AG78" s="152"/>
    </row>
    <row r="79" spans="2:33" s="348" customFormat="1" ht="27" customHeight="1" thickBot="1" x14ac:dyDescent="0.3">
      <c r="B79" s="114" t="s">
        <v>21</v>
      </c>
      <c r="C79" s="115" t="e">
        <f>C78/C77</f>
        <v>#DIV/0!</v>
      </c>
      <c r="D79" s="115" t="e">
        <f t="shared" ref="D79:F79" si="3">D78/D77</f>
        <v>#DIV/0!</v>
      </c>
      <c r="E79" s="115" t="e">
        <f t="shared" si="3"/>
        <v>#DIV/0!</v>
      </c>
      <c r="F79" s="115" t="e">
        <f t="shared" si="3"/>
        <v>#DIV/0!</v>
      </c>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row>
    <row r="80" spans="2:33" s="348" customFormat="1" ht="17.25" customHeight="1" thickBot="1" x14ac:dyDescent="0.3">
      <c r="B80" s="114" t="s">
        <v>22</v>
      </c>
      <c r="C80" s="148" t="s">
        <v>23</v>
      </c>
      <c r="D80" s="113" t="e">
        <f>D77/C77-1</f>
        <v>#DIV/0!</v>
      </c>
      <c r="E80" s="113" t="e">
        <f t="shared" ref="E80:F82" si="4">E77/D77-1</f>
        <v>#DIV/0!</v>
      </c>
      <c r="F80" s="113" t="e">
        <f t="shared" si="4"/>
        <v>#DIV/0!</v>
      </c>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row>
    <row r="81" spans="2:33" s="348" customFormat="1" ht="17.25" customHeight="1" thickBot="1" x14ac:dyDescent="0.3">
      <c r="B81" s="114" t="s">
        <v>24</v>
      </c>
      <c r="C81" s="148" t="s">
        <v>23</v>
      </c>
      <c r="D81" s="113">
        <f>D78/C78-1</f>
        <v>-2.4894067796610186E-2</v>
      </c>
      <c r="E81" s="113">
        <f t="shared" si="4"/>
        <v>5.0719717544812637E-2</v>
      </c>
      <c r="F81" s="113">
        <f t="shared" si="4"/>
        <v>0</v>
      </c>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row>
    <row r="82" spans="2:33" s="348" customFormat="1" ht="17.25" customHeight="1" thickBot="1" x14ac:dyDescent="0.3">
      <c r="B82" s="114" t="s">
        <v>25</v>
      </c>
      <c r="C82" s="148" t="s">
        <v>23</v>
      </c>
      <c r="D82" s="113" t="e">
        <f>D79/C79-1</f>
        <v>#DIV/0!</v>
      </c>
      <c r="E82" s="113" t="e">
        <f t="shared" si="4"/>
        <v>#DIV/0!</v>
      </c>
      <c r="F82" s="113" t="e">
        <f t="shared" si="4"/>
        <v>#DIV/0!</v>
      </c>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row>
    <row r="83" spans="2:33" s="348" customFormat="1" ht="17.25" customHeight="1" thickBot="1" x14ac:dyDescent="0.3">
      <c r="B83" s="812" t="s">
        <v>826</v>
      </c>
      <c r="C83" s="813"/>
      <c r="D83" s="813"/>
      <c r="E83" s="813"/>
      <c r="F83" s="814"/>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row>
    <row r="84" spans="2:33" s="348" customFormat="1" ht="17.25" customHeight="1" x14ac:dyDescent="0.25">
      <c r="B84" s="810"/>
      <c r="C84" s="112">
        <v>2018</v>
      </c>
      <c r="D84" s="112">
        <v>2019</v>
      </c>
      <c r="E84" s="112">
        <v>2020</v>
      </c>
      <c r="F84" s="112">
        <v>2021</v>
      </c>
      <c r="G84" s="15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row>
    <row r="85" spans="2:33" s="348" customFormat="1" ht="17.25" customHeight="1" thickBot="1" x14ac:dyDescent="0.3">
      <c r="B85" s="811"/>
      <c r="C85" s="111" t="s">
        <v>10</v>
      </c>
      <c r="D85" s="111" t="s">
        <v>11</v>
      </c>
      <c r="E85" s="111" t="s">
        <v>11</v>
      </c>
      <c r="F85" s="111" t="s">
        <v>11</v>
      </c>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2"/>
      <c r="AE85" s="152"/>
      <c r="AF85" s="152"/>
      <c r="AG85" s="152"/>
    </row>
    <row r="86" spans="2:33" s="348" customFormat="1" ht="17.25" customHeight="1" thickBot="1" x14ac:dyDescent="0.3">
      <c r="B86" s="100" t="s">
        <v>26</v>
      </c>
      <c r="C86" s="93">
        <v>24600</v>
      </c>
      <c r="D86" s="93">
        <v>24600</v>
      </c>
      <c r="E86" s="93">
        <v>24800</v>
      </c>
      <c r="F86" s="93">
        <v>24800</v>
      </c>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2"/>
      <c r="AE86" s="152"/>
      <c r="AF86" s="152"/>
      <c r="AG86" s="152"/>
    </row>
    <row r="87" spans="2:33" s="348" customFormat="1" ht="36" customHeight="1" thickBot="1" x14ac:dyDescent="0.3">
      <c r="B87" s="100" t="s">
        <v>28</v>
      </c>
      <c r="C87" s="93">
        <v>4108</v>
      </c>
      <c r="D87" s="93">
        <v>4110</v>
      </c>
      <c r="E87" s="93">
        <v>4110</v>
      </c>
      <c r="F87" s="93">
        <v>4110</v>
      </c>
      <c r="G87" s="15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2"/>
      <c r="AE87" s="152"/>
      <c r="AF87" s="152"/>
      <c r="AG87" s="152"/>
    </row>
    <row r="88" spans="2:33" s="348" customFormat="1" ht="22.9" customHeight="1" thickBot="1" x14ac:dyDescent="0.3">
      <c r="B88" s="100" t="s">
        <v>30</v>
      </c>
      <c r="C88" s="98">
        <v>1500</v>
      </c>
      <c r="D88" s="93">
        <v>746</v>
      </c>
      <c r="E88" s="93">
        <v>2040</v>
      </c>
      <c r="F88" s="93">
        <v>2040</v>
      </c>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row>
    <row r="89" spans="2:33" s="348" customFormat="1" ht="17.25" hidden="1" customHeight="1" thickBot="1" x14ac:dyDescent="0.3">
      <c r="B89" s="100" t="s">
        <v>32</v>
      </c>
      <c r="C89" s="98">
        <v>0</v>
      </c>
      <c r="D89" s="98">
        <v>0</v>
      </c>
      <c r="E89" s="98">
        <v>0</v>
      </c>
      <c r="F89" s="98">
        <v>0</v>
      </c>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row>
    <row r="90" spans="2:33" s="348" customFormat="1" ht="17.25" hidden="1" customHeight="1" thickBot="1" x14ac:dyDescent="0.3">
      <c r="B90" s="100" t="s">
        <v>34</v>
      </c>
      <c r="C90" s="98">
        <v>0</v>
      </c>
      <c r="D90" s="98">
        <v>0</v>
      </c>
      <c r="E90" s="98">
        <v>0</v>
      </c>
      <c r="F90" s="98">
        <v>0</v>
      </c>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row>
    <row r="91" spans="2:33" s="348" customFormat="1" ht="17.25" hidden="1" customHeight="1" thickBot="1" x14ac:dyDescent="0.3">
      <c r="B91" s="100" t="s">
        <v>36</v>
      </c>
      <c r="C91" s="98">
        <v>0</v>
      </c>
      <c r="D91" s="98">
        <v>0</v>
      </c>
      <c r="E91" s="98">
        <v>0</v>
      </c>
      <c r="F91" s="98">
        <v>0</v>
      </c>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row>
    <row r="92" spans="2:33" s="348" customFormat="1" ht="17.25" hidden="1" customHeight="1" thickBot="1" x14ac:dyDescent="0.3">
      <c r="B92" s="100" t="s">
        <v>38</v>
      </c>
      <c r="C92" s="98">
        <v>0</v>
      </c>
      <c r="D92" s="98">
        <v>0</v>
      </c>
      <c r="E92" s="98">
        <v>0</v>
      </c>
      <c r="F92" s="98">
        <v>0</v>
      </c>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row>
    <row r="93" spans="2:33" s="348" customFormat="1" ht="17.25" customHeight="1" thickBot="1" x14ac:dyDescent="0.3">
      <c r="B93" s="119" t="s">
        <v>52</v>
      </c>
      <c r="C93" s="98">
        <f>C92+C91+C90+C89+C88+C87+C86</f>
        <v>30208</v>
      </c>
      <c r="D93" s="98">
        <f>D92+D91+D90+D89+D88+D87+D86</f>
        <v>29456</v>
      </c>
      <c r="E93" s="98">
        <f>E92+E91+E90+E89+E88+E87+E86</f>
        <v>30950</v>
      </c>
      <c r="F93" s="98">
        <f>F92+F91+F90+F89+F88+F87+F86</f>
        <v>30950</v>
      </c>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row>
    <row r="94" spans="2:33" s="348" customFormat="1" ht="17.25" customHeight="1" thickBot="1" x14ac:dyDescent="0.3">
      <c r="B94" s="96" t="s">
        <v>41</v>
      </c>
      <c r="C94" s="95">
        <f>IF(C93-C78=0,0,"Error")</f>
        <v>0</v>
      </c>
      <c r="D94" s="95">
        <f>IF(D93-D78=0,0,"Error")</f>
        <v>0</v>
      </c>
      <c r="E94" s="95">
        <f>IF(E93-E78=0,0,"Error")</f>
        <v>0</v>
      </c>
      <c r="F94" s="95">
        <f>IF(F93-F78=0,0,"Error")</f>
        <v>0</v>
      </c>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2"/>
      <c r="AE94" s="152"/>
      <c r="AF94" s="152"/>
      <c r="AG94" s="152"/>
    </row>
    <row r="95" spans="2:33" s="348" customFormat="1" ht="17.25" customHeight="1" thickBot="1" x14ac:dyDescent="0.3">
      <c r="B95" s="349"/>
      <c r="C95" s="350"/>
      <c r="D95" s="350"/>
      <c r="E95" s="350"/>
      <c r="F95" s="351"/>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row>
    <row r="96" spans="2:33" ht="15.75" thickBot="1" x14ac:dyDescent="0.3">
      <c r="B96" s="833" t="s">
        <v>586</v>
      </c>
      <c r="C96" s="834"/>
      <c r="D96" s="834"/>
      <c r="E96" s="834"/>
      <c r="F96" s="835"/>
    </row>
    <row r="97" spans="2:6" ht="15.75" thickBot="1" x14ac:dyDescent="0.3">
      <c r="B97" s="833" t="s">
        <v>56</v>
      </c>
      <c r="C97" s="834"/>
      <c r="D97" s="834"/>
      <c r="E97" s="834"/>
      <c r="F97" s="835"/>
    </row>
    <row r="98" spans="2:6" ht="15.75" thickBot="1" x14ac:dyDescent="0.3">
      <c r="B98" s="120" t="s">
        <v>79</v>
      </c>
      <c r="C98" s="842" t="s">
        <v>587</v>
      </c>
      <c r="D98" s="843"/>
      <c r="E98" s="843"/>
      <c r="F98" s="844"/>
    </row>
    <row r="99" spans="2:6" ht="22.9" customHeight="1" thickBot="1" x14ac:dyDescent="0.3">
      <c r="B99" s="116" t="s">
        <v>16</v>
      </c>
      <c r="C99" s="833" t="s">
        <v>578</v>
      </c>
      <c r="D99" s="834"/>
      <c r="E99" s="834"/>
      <c r="F99" s="835"/>
    </row>
    <row r="100" spans="2:6" ht="97.15" customHeight="1" thickBot="1" x14ac:dyDescent="0.3">
      <c r="B100" s="114" t="s">
        <v>17</v>
      </c>
      <c r="C100" s="848" t="s">
        <v>588</v>
      </c>
      <c r="D100" s="849"/>
      <c r="E100" s="849"/>
      <c r="F100" s="850"/>
    </row>
    <row r="101" spans="2:6" ht="15.75" thickBot="1" x14ac:dyDescent="0.3">
      <c r="B101" s="114" t="s">
        <v>18</v>
      </c>
      <c r="C101" s="807" t="s">
        <v>589</v>
      </c>
      <c r="D101" s="808"/>
      <c r="E101" s="808"/>
      <c r="F101" s="809"/>
    </row>
    <row r="102" spans="2:6" ht="11.45" customHeight="1" x14ac:dyDescent="0.25">
      <c r="B102" s="810"/>
      <c r="C102" s="112">
        <v>2018</v>
      </c>
      <c r="D102" s="112">
        <v>2019</v>
      </c>
      <c r="E102" s="112">
        <v>2020</v>
      </c>
      <c r="F102" s="112">
        <v>2021</v>
      </c>
    </row>
    <row r="103" spans="2:6" ht="19.899999999999999" customHeight="1" thickBot="1" x14ac:dyDescent="0.3">
      <c r="B103" s="811"/>
      <c r="C103" s="111" t="s">
        <v>10</v>
      </c>
      <c r="D103" s="111" t="s">
        <v>11</v>
      </c>
      <c r="E103" s="111" t="s">
        <v>11</v>
      </c>
      <c r="F103" s="111" t="s">
        <v>11</v>
      </c>
    </row>
    <row r="104" spans="2:6" ht="15.75" thickBot="1" x14ac:dyDescent="0.3">
      <c r="B104" s="114" t="s">
        <v>19</v>
      </c>
      <c r="C104" s="115">
        <v>3</v>
      </c>
      <c r="D104" s="115">
        <v>0</v>
      </c>
      <c r="E104" s="115">
        <v>0</v>
      </c>
      <c r="F104" s="115">
        <v>0</v>
      </c>
    </row>
    <row r="105" spans="2:6" ht="15.75" thickBot="1" x14ac:dyDescent="0.3">
      <c r="B105" s="114" t="s">
        <v>20</v>
      </c>
      <c r="C105" s="115">
        <v>2300</v>
      </c>
      <c r="D105" s="115">
        <v>0</v>
      </c>
      <c r="E105" s="115">
        <v>0</v>
      </c>
      <c r="F105" s="115">
        <v>0</v>
      </c>
    </row>
    <row r="106" spans="2:6" ht="15.75" thickBot="1" x14ac:dyDescent="0.3">
      <c r="B106" s="114" t="s">
        <v>21</v>
      </c>
      <c r="C106" s="115">
        <f>C105/C104</f>
        <v>766.66666666666663</v>
      </c>
      <c r="D106" s="115" t="e">
        <f t="shared" ref="D106:F106" si="5">D105/D104</f>
        <v>#DIV/0!</v>
      </c>
      <c r="E106" s="115" t="e">
        <f t="shared" si="5"/>
        <v>#DIV/0!</v>
      </c>
      <c r="F106" s="115" t="e">
        <f t="shared" si="5"/>
        <v>#DIV/0!</v>
      </c>
    </row>
    <row r="107" spans="2:6" ht="15.75" thickBot="1" x14ac:dyDescent="0.3">
      <c r="B107" s="114" t="s">
        <v>22</v>
      </c>
      <c r="C107" s="148" t="s">
        <v>23</v>
      </c>
      <c r="D107" s="113">
        <f>D104/C104-1</f>
        <v>-1</v>
      </c>
      <c r="E107" s="113" t="e">
        <f t="shared" ref="E107:F109" si="6">E104/D104-1</f>
        <v>#DIV/0!</v>
      </c>
      <c r="F107" s="113" t="e">
        <f t="shared" si="6"/>
        <v>#DIV/0!</v>
      </c>
    </row>
    <row r="108" spans="2:6" ht="15.75" thickBot="1" x14ac:dyDescent="0.3">
      <c r="B108" s="114" t="s">
        <v>24</v>
      </c>
      <c r="C108" s="148" t="s">
        <v>23</v>
      </c>
      <c r="D108" s="113">
        <f>D105/C105-1</f>
        <v>-1</v>
      </c>
      <c r="E108" s="113" t="e">
        <f t="shared" si="6"/>
        <v>#DIV/0!</v>
      </c>
      <c r="F108" s="113" t="e">
        <f t="shared" si="6"/>
        <v>#DIV/0!</v>
      </c>
    </row>
    <row r="109" spans="2:6" ht="15.75" thickBot="1" x14ac:dyDescent="0.3">
      <c r="B109" s="114" t="s">
        <v>25</v>
      </c>
      <c r="C109" s="148" t="s">
        <v>23</v>
      </c>
      <c r="D109" s="113" t="e">
        <f>D106/C106-1</f>
        <v>#DIV/0!</v>
      </c>
      <c r="E109" s="113" t="e">
        <f t="shared" si="6"/>
        <v>#DIV/0!</v>
      </c>
      <c r="F109" s="113" t="e">
        <f t="shared" si="6"/>
        <v>#DIV/0!</v>
      </c>
    </row>
    <row r="110" spans="2:6" ht="15.75" thickBot="1" x14ac:dyDescent="0.3">
      <c r="B110" s="812" t="s">
        <v>630</v>
      </c>
      <c r="C110" s="813"/>
      <c r="D110" s="813"/>
      <c r="E110" s="813"/>
      <c r="F110" s="814"/>
    </row>
    <row r="111" spans="2:6" ht="12.75" customHeight="1" x14ac:dyDescent="0.25">
      <c r="B111" s="810"/>
      <c r="C111" s="112">
        <v>2018</v>
      </c>
      <c r="D111" s="112">
        <v>2019</v>
      </c>
      <c r="E111" s="112">
        <v>2020</v>
      </c>
      <c r="F111" s="112">
        <v>2021</v>
      </c>
    </row>
    <row r="112" spans="2:6" ht="21" customHeight="1" thickBot="1" x14ac:dyDescent="0.3">
      <c r="B112" s="811"/>
      <c r="C112" s="111" t="s">
        <v>10</v>
      </c>
      <c r="D112" s="111" t="s">
        <v>11</v>
      </c>
      <c r="E112" s="111" t="s">
        <v>11</v>
      </c>
      <c r="F112" s="111" t="s">
        <v>11</v>
      </c>
    </row>
    <row r="113" spans="2:6" ht="15.75" thickBot="1" x14ac:dyDescent="0.3">
      <c r="B113" s="100" t="s">
        <v>58</v>
      </c>
      <c r="C113" s="93">
        <v>0</v>
      </c>
      <c r="D113" s="93">
        <v>0</v>
      </c>
      <c r="E113" s="93">
        <v>0</v>
      </c>
      <c r="F113" s="93">
        <v>0</v>
      </c>
    </row>
    <row r="114" spans="2:6" ht="18.600000000000001" customHeight="1" thickBot="1" x14ac:dyDescent="0.3">
      <c r="B114" s="100" t="s">
        <v>59</v>
      </c>
      <c r="C114" s="98">
        <v>2300</v>
      </c>
      <c r="D114" s="93">
        <v>0</v>
      </c>
      <c r="E114" s="93">
        <v>0</v>
      </c>
      <c r="F114" s="93">
        <v>0</v>
      </c>
    </row>
    <row r="115" spans="2:6" ht="15.75" thickBot="1" x14ac:dyDescent="0.3">
      <c r="B115" s="119" t="s">
        <v>40</v>
      </c>
      <c r="C115" s="98">
        <f>C114+C113</f>
        <v>2300</v>
      </c>
      <c r="D115" s="98">
        <f t="shared" ref="D115:F115" si="7">D114+D113</f>
        <v>0</v>
      </c>
      <c r="E115" s="98">
        <f t="shared" si="7"/>
        <v>0</v>
      </c>
      <c r="F115" s="98">
        <f t="shared" si="7"/>
        <v>0</v>
      </c>
    </row>
    <row r="116" spans="2:6" x14ac:dyDescent="0.25">
      <c r="B116" s="815" t="s">
        <v>60</v>
      </c>
      <c r="C116" s="839"/>
      <c r="D116" s="817"/>
      <c r="E116" s="817"/>
      <c r="F116" s="818"/>
    </row>
    <row r="117" spans="2:6" x14ac:dyDescent="0.25">
      <c r="B117" s="816"/>
      <c r="C117" s="840"/>
      <c r="D117" s="819"/>
      <c r="E117" s="819"/>
      <c r="F117" s="820"/>
    </row>
    <row r="118" spans="2:6" ht="15.75" thickBot="1" x14ac:dyDescent="0.3">
      <c r="B118" s="821"/>
      <c r="C118" s="841"/>
      <c r="D118" s="822"/>
      <c r="E118" s="822"/>
      <c r="F118" s="823"/>
    </row>
    <row r="119" spans="2:6" ht="15.75" thickBot="1" x14ac:dyDescent="0.3">
      <c r="B119" s="120" t="s">
        <v>61</v>
      </c>
      <c r="C119" s="900" t="s">
        <v>590</v>
      </c>
      <c r="D119" s="901"/>
      <c r="E119" s="901"/>
      <c r="F119" s="902"/>
    </row>
    <row r="120" spans="2:6" ht="15.75" thickBot="1" x14ac:dyDescent="0.3">
      <c r="B120" s="116" t="s">
        <v>42</v>
      </c>
      <c r="C120" s="833" t="s">
        <v>581</v>
      </c>
      <c r="D120" s="834"/>
      <c r="E120" s="834"/>
      <c r="F120" s="835"/>
    </row>
    <row r="121" spans="2:6" ht="80.25" customHeight="1" thickBot="1" x14ac:dyDescent="0.3">
      <c r="B121" s="114" t="s">
        <v>17</v>
      </c>
      <c r="C121" s="848" t="s">
        <v>582</v>
      </c>
      <c r="D121" s="849"/>
      <c r="E121" s="849"/>
      <c r="F121" s="850"/>
    </row>
    <row r="122" spans="2:6" ht="15.75" thickBot="1" x14ac:dyDescent="0.3">
      <c r="B122" s="114" t="s">
        <v>18</v>
      </c>
      <c r="C122" s="807" t="s">
        <v>591</v>
      </c>
      <c r="D122" s="808"/>
      <c r="E122" s="808"/>
      <c r="F122" s="809"/>
    </row>
    <row r="123" spans="2:6" ht="12.75" customHeight="1" x14ac:dyDescent="0.25">
      <c r="B123" s="810"/>
      <c r="C123" s="112">
        <v>2018</v>
      </c>
      <c r="D123" s="112">
        <v>2019</v>
      </c>
      <c r="E123" s="112">
        <v>2020</v>
      </c>
      <c r="F123" s="112">
        <v>2021</v>
      </c>
    </row>
    <row r="124" spans="2:6" ht="15.6" customHeight="1" thickBot="1" x14ac:dyDescent="0.3">
      <c r="B124" s="811"/>
      <c r="C124" s="111" t="s">
        <v>10</v>
      </c>
      <c r="D124" s="111" t="s">
        <v>11</v>
      </c>
      <c r="E124" s="111" t="s">
        <v>11</v>
      </c>
      <c r="F124" s="111" t="s">
        <v>11</v>
      </c>
    </row>
    <row r="125" spans="2:6" ht="15.75" thickBot="1" x14ac:dyDescent="0.3">
      <c r="B125" s="114" t="s">
        <v>19</v>
      </c>
      <c r="C125" s="115">
        <v>1</v>
      </c>
      <c r="D125" s="115">
        <v>0</v>
      </c>
      <c r="E125" s="115">
        <v>0</v>
      </c>
      <c r="F125" s="115">
        <v>0</v>
      </c>
    </row>
    <row r="126" spans="2:6" ht="15.75" thickBot="1" x14ac:dyDescent="0.3">
      <c r="B126" s="114" t="s">
        <v>20</v>
      </c>
      <c r="C126" s="115">
        <v>352</v>
      </c>
      <c r="D126" s="115">
        <v>0</v>
      </c>
      <c r="E126" s="115">
        <v>0</v>
      </c>
      <c r="F126" s="115">
        <v>0</v>
      </c>
    </row>
    <row r="127" spans="2:6" ht="15.75" thickBot="1" x14ac:dyDescent="0.3">
      <c r="B127" s="114" t="s">
        <v>21</v>
      </c>
      <c r="C127" s="115">
        <f>C126/C125</f>
        <v>352</v>
      </c>
      <c r="D127" s="115" t="e">
        <f t="shared" ref="D127:F127" si="8">D126/D125</f>
        <v>#DIV/0!</v>
      </c>
      <c r="E127" s="115" t="e">
        <f t="shared" si="8"/>
        <v>#DIV/0!</v>
      </c>
      <c r="F127" s="115" t="e">
        <f t="shared" si="8"/>
        <v>#DIV/0!</v>
      </c>
    </row>
    <row r="128" spans="2:6" ht="15.75" thickBot="1" x14ac:dyDescent="0.3">
      <c r="B128" s="114" t="s">
        <v>22</v>
      </c>
      <c r="C128" s="148" t="s">
        <v>23</v>
      </c>
      <c r="D128" s="113">
        <f>D125/C125-1</f>
        <v>-1</v>
      </c>
      <c r="E128" s="113" t="e">
        <f t="shared" ref="E128:F130" si="9">E125/D125-1</f>
        <v>#DIV/0!</v>
      </c>
      <c r="F128" s="113" t="e">
        <f t="shared" si="9"/>
        <v>#DIV/0!</v>
      </c>
    </row>
    <row r="129" spans="2:6" ht="15.75" thickBot="1" x14ac:dyDescent="0.3">
      <c r="B129" s="114" t="s">
        <v>24</v>
      </c>
      <c r="C129" s="148" t="s">
        <v>23</v>
      </c>
      <c r="D129" s="113">
        <f>D126/C126-1</f>
        <v>-1</v>
      </c>
      <c r="E129" s="113" t="e">
        <f t="shared" si="9"/>
        <v>#DIV/0!</v>
      </c>
      <c r="F129" s="113" t="e">
        <f t="shared" si="9"/>
        <v>#DIV/0!</v>
      </c>
    </row>
    <row r="130" spans="2:6" ht="15.75" thickBot="1" x14ac:dyDescent="0.3">
      <c r="B130" s="114" t="s">
        <v>25</v>
      </c>
      <c r="C130" s="148" t="s">
        <v>23</v>
      </c>
      <c r="D130" s="113" t="e">
        <f>D127/C127-1</f>
        <v>#DIV/0!</v>
      </c>
      <c r="E130" s="113" t="e">
        <f t="shared" si="9"/>
        <v>#DIV/0!</v>
      </c>
      <c r="F130" s="113" t="e">
        <f t="shared" si="9"/>
        <v>#DIV/0!</v>
      </c>
    </row>
    <row r="131" spans="2:6" ht="21.75" customHeight="1" thickBot="1" x14ac:dyDescent="0.3">
      <c r="B131" s="812" t="s">
        <v>827</v>
      </c>
      <c r="C131" s="813"/>
      <c r="D131" s="813"/>
      <c r="E131" s="813"/>
      <c r="F131" s="814"/>
    </row>
    <row r="132" spans="2:6" ht="12.75" customHeight="1" x14ac:dyDescent="0.25">
      <c r="B132" s="810"/>
      <c r="C132" s="112">
        <v>2018</v>
      </c>
      <c r="D132" s="112">
        <v>2019</v>
      </c>
      <c r="E132" s="112">
        <v>2020</v>
      </c>
      <c r="F132" s="112">
        <v>2021</v>
      </c>
    </row>
    <row r="133" spans="2:6" ht="14.45" customHeight="1" thickBot="1" x14ac:dyDescent="0.3">
      <c r="B133" s="811"/>
      <c r="C133" s="111" t="s">
        <v>10</v>
      </c>
      <c r="D133" s="111" t="s">
        <v>11</v>
      </c>
      <c r="E133" s="111" t="s">
        <v>11</v>
      </c>
      <c r="F133" s="111" t="s">
        <v>11</v>
      </c>
    </row>
    <row r="134" spans="2:6" ht="15.75" thickBot="1" x14ac:dyDescent="0.3">
      <c r="B134" s="100" t="s">
        <v>58</v>
      </c>
      <c r="C134" s="93">
        <v>0</v>
      </c>
      <c r="D134" s="93">
        <v>0</v>
      </c>
      <c r="E134" s="93">
        <v>0</v>
      </c>
      <c r="F134" s="93">
        <v>0</v>
      </c>
    </row>
    <row r="135" spans="2:6" ht="15.75" thickBot="1" x14ac:dyDescent="0.3">
      <c r="B135" s="100" t="s">
        <v>59</v>
      </c>
      <c r="C135" s="115">
        <v>352</v>
      </c>
      <c r="D135" s="93">
        <v>0</v>
      </c>
      <c r="E135" s="93">
        <v>0</v>
      </c>
      <c r="F135" s="93">
        <v>0</v>
      </c>
    </row>
    <row r="136" spans="2:6" ht="15.75" thickBot="1" x14ac:dyDescent="0.3">
      <c r="B136" s="119" t="s">
        <v>43</v>
      </c>
      <c r="C136" s="98">
        <f>C135+C134</f>
        <v>352</v>
      </c>
      <c r="D136" s="98">
        <f t="shared" ref="D136:F136" si="10">D135+D134</f>
        <v>0</v>
      </c>
      <c r="E136" s="98">
        <f t="shared" si="10"/>
        <v>0</v>
      </c>
      <c r="F136" s="98">
        <f t="shared" si="10"/>
        <v>0</v>
      </c>
    </row>
    <row r="137" spans="2:6" ht="15.75" hidden="1" thickBot="1" x14ac:dyDescent="0.3">
      <c r="B137" s="833" t="s">
        <v>63</v>
      </c>
      <c r="C137" s="834"/>
      <c r="D137" s="834"/>
      <c r="E137" s="834"/>
      <c r="F137" s="835"/>
    </row>
    <row r="138" spans="2:6" ht="15.75" hidden="1" thickBot="1" x14ac:dyDescent="0.3">
      <c r="B138" s="833" t="s">
        <v>64</v>
      </c>
      <c r="C138" s="834"/>
      <c r="D138" s="834"/>
      <c r="E138" s="834"/>
      <c r="F138" s="835"/>
    </row>
    <row r="139" spans="2:6" ht="15.75" hidden="1" thickBot="1" x14ac:dyDescent="0.3">
      <c r="B139" s="120" t="s">
        <v>61</v>
      </c>
      <c r="C139" s="842" t="s">
        <v>130</v>
      </c>
      <c r="D139" s="843"/>
      <c r="E139" s="843"/>
      <c r="F139" s="844"/>
    </row>
    <row r="140" spans="2:6" ht="15.75" hidden="1" thickBot="1" x14ac:dyDescent="0.3">
      <c r="B140" s="116" t="s">
        <v>16</v>
      </c>
      <c r="C140" s="845" t="s">
        <v>106</v>
      </c>
      <c r="D140" s="846"/>
      <c r="E140" s="846"/>
      <c r="F140" s="847"/>
    </row>
    <row r="141" spans="2:6" ht="17.25" hidden="1" customHeight="1" thickBot="1" x14ac:dyDescent="0.3">
      <c r="B141" s="114" t="s">
        <v>17</v>
      </c>
      <c r="C141" s="804" t="s">
        <v>106</v>
      </c>
      <c r="D141" s="805"/>
      <c r="E141" s="805"/>
      <c r="F141" s="806"/>
    </row>
    <row r="142" spans="2:6" ht="15.75" hidden="1" thickBot="1" x14ac:dyDescent="0.3">
      <c r="B142" s="114" t="s">
        <v>18</v>
      </c>
      <c r="C142" s="807" t="s">
        <v>106</v>
      </c>
      <c r="D142" s="808"/>
      <c r="E142" s="808"/>
      <c r="F142" s="809"/>
    </row>
    <row r="143" spans="2:6" ht="12.75" hidden="1" customHeight="1" x14ac:dyDescent="0.25">
      <c r="B143" s="810"/>
      <c r="C143" s="112">
        <v>2018</v>
      </c>
      <c r="D143" s="112">
        <v>2019</v>
      </c>
      <c r="E143" s="112">
        <v>2020</v>
      </c>
      <c r="F143" s="112">
        <v>2021</v>
      </c>
    </row>
    <row r="144" spans="2:6" ht="9" hidden="1" customHeight="1" thickBot="1" x14ac:dyDescent="0.3">
      <c r="B144" s="811"/>
      <c r="C144" s="111" t="s">
        <v>10</v>
      </c>
      <c r="D144" s="111" t="s">
        <v>11</v>
      </c>
      <c r="E144" s="111" t="s">
        <v>11</v>
      </c>
      <c r="F144" s="111" t="s">
        <v>11</v>
      </c>
    </row>
    <row r="145" spans="2:6" ht="15.75" hidden="1" thickBot="1" x14ac:dyDescent="0.3">
      <c r="B145" s="114" t="s">
        <v>19</v>
      </c>
      <c r="C145" s="115">
        <v>0</v>
      </c>
      <c r="D145" s="115">
        <v>0</v>
      </c>
      <c r="E145" s="115">
        <v>0</v>
      </c>
      <c r="F145" s="115">
        <v>0</v>
      </c>
    </row>
    <row r="146" spans="2:6" ht="15.75" hidden="1" thickBot="1" x14ac:dyDescent="0.3">
      <c r="B146" s="114" t="s">
        <v>20</v>
      </c>
      <c r="C146" s="115">
        <v>0</v>
      </c>
      <c r="D146" s="115">
        <v>0</v>
      </c>
      <c r="E146" s="115">
        <v>0</v>
      </c>
      <c r="F146" s="115">
        <v>0</v>
      </c>
    </row>
    <row r="147" spans="2:6" ht="15.75" hidden="1" thickBot="1" x14ac:dyDescent="0.3">
      <c r="B147" s="114" t="s">
        <v>21</v>
      </c>
      <c r="C147" s="115" t="e">
        <f>C146/C145</f>
        <v>#DIV/0!</v>
      </c>
      <c r="D147" s="115" t="e">
        <f t="shared" ref="D147:F147" si="11">D146/D145</f>
        <v>#DIV/0!</v>
      </c>
      <c r="E147" s="115" t="e">
        <f t="shared" si="11"/>
        <v>#DIV/0!</v>
      </c>
      <c r="F147" s="115" t="e">
        <f t="shared" si="11"/>
        <v>#DIV/0!</v>
      </c>
    </row>
    <row r="148" spans="2:6" ht="15.75" hidden="1" thickBot="1" x14ac:dyDescent="0.3">
      <c r="B148" s="114" t="s">
        <v>22</v>
      </c>
      <c r="C148" s="148" t="s">
        <v>23</v>
      </c>
      <c r="D148" s="113" t="e">
        <f>D145/C145-1</f>
        <v>#DIV/0!</v>
      </c>
      <c r="E148" s="113" t="e">
        <f t="shared" ref="E148:F150" si="12">E145/D145-1</f>
        <v>#DIV/0!</v>
      </c>
      <c r="F148" s="113" t="e">
        <f t="shared" si="12"/>
        <v>#DIV/0!</v>
      </c>
    </row>
    <row r="149" spans="2:6" ht="15.75" hidden="1" thickBot="1" x14ac:dyDescent="0.3">
      <c r="B149" s="114" t="s">
        <v>24</v>
      </c>
      <c r="C149" s="148" t="s">
        <v>23</v>
      </c>
      <c r="D149" s="113" t="e">
        <f>D146/C146-1</f>
        <v>#DIV/0!</v>
      </c>
      <c r="E149" s="113" t="e">
        <f t="shared" si="12"/>
        <v>#DIV/0!</v>
      </c>
      <c r="F149" s="113" t="e">
        <f t="shared" si="12"/>
        <v>#DIV/0!</v>
      </c>
    </row>
    <row r="150" spans="2:6" ht="15.75" hidden="1" thickBot="1" x14ac:dyDescent="0.3">
      <c r="B150" s="114" t="s">
        <v>25</v>
      </c>
      <c r="C150" s="148" t="s">
        <v>23</v>
      </c>
      <c r="D150" s="113" t="e">
        <f>D147/C147-1</f>
        <v>#DIV/0!</v>
      </c>
      <c r="E150" s="113" t="e">
        <f t="shared" si="12"/>
        <v>#DIV/0!</v>
      </c>
      <c r="F150" s="113" t="e">
        <f t="shared" si="12"/>
        <v>#DIV/0!</v>
      </c>
    </row>
    <row r="151" spans="2:6" ht="15.75" hidden="1" thickBot="1" x14ac:dyDescent="0.3">
      <c r="B151" s="812" t="s">
        <v>630</v>
      </c>
      <c r="C151" s="813"/>
      <c r="D151" s="813"/>
      <c r="E151" s="813"/>
      <c r="F151" s="814"/>
    </row>
    <row r="152" spans="2:6" ht="12.75" hidden="1" customHeight="1" x14ac:dyDescent="0.25">
      <c r="B152" s="810"/>
      <c r="C152" s="112">
        <v>2018</v>
      </c>
      <c r="D152" s="112">
        <v>2019</v>
      </c>
      <c r="E152" s="112">
        <v>2020</v>
      </c>
      <c r="F152" s="112">
        <v>2021</v>
      </c>
    </row>
    <row r="153" spans="2:6" ht="9" hidden="1" customHeight="1" thickBot="1" x14ac:dyDescent="0.3">
      <c r="B153" s="811"/>
      <c r="C153" s="111" t="s">
        <v>10</v>
      </c>
      <c r="D153" s="111" t="s">
        <v>11</v>
      </c>
      <c r="E153" s="111" t="s">
        <v>11</v>
      </c>
      <c r="F153" s="111" t="s">
        <v>11</v>
      </c>
    </row>
    <row r="154" spans="2:6" ht="15.75" hidden="1" thickBot="1" x14ac:dyDescent="0.3">
      <c r="B154" s="100" t="s">
        <v>58</v>
      </c>
      <c r="C154" s="93"/>
      <c r="D154" s="93"/>
      <c r="E154" s="93"/>
      <c r="F154" s="93"/>
    </row>
    <row r="155" spans="2:6" ht="15.75" hidden="1" thickBot="1" x14ac:dyDescent="0.3">
      <c r="B155" s="100" t="s">
        <v>59</v>
      </c>
      <c r="C155" s="98"/>
      <c r="D155" s="93"/>
      <c r="E155" s="93"/>
      <c r="F155" s="93"/>
    </row>
    <row r="156" spans="2:6" ht="15.75" hidden="1" thickBot="1" x14ac:dyDescent="0.3">
      <c r="B156" s="119" t="s">
        <v>40</v>
      </c>
      <c r="C156" s="98">
        <f>C155+C154</f>
        <v>0</v>
      </c>
      <c r="D156" s="98">
        <f t="shared" ref="D156:F156" si="13">D155+D154</f>
        <v>0</v>
      </c>
      <c r="E156" s="98">
        <f t="shared" si="13"/>
        <v>0</v>
      </c>
      <c r="F156" s="98">
        <f t="shared" si="13"/>
        <v>0</v>
      </c>
    </row>
    <row r="157" spans="2:6" ht="15.75" hidden="1" thickBot="1" x14ac:dyDescent="0.3">
      <c r="B157" s="352" t="s">
        <v>61</v>
      </c>
      <c r="C157" s="842" t="s">
        <v>130</v>
      </c>
      <c r="D157" s="843"/>
      <c r="E157" s="843"/>
      <c r="F157" s="844"/>
    </row>
    <row r="158" spans="2:6" ht="15.75" hidden="1" thickBot="1" x14ac:dyDescent="0.3">
      <c r="B158" s="116" t="s">
        <v>129</v>
      </c>
      <c r="C158" s="845" t="s">
        <v>106</v>
      </c>
      <c r="D158" s="846"/>
      <c r="E158" s="846"/>
      <c r="F158" s="847"/>
    </row>
    <row r="159" spans="2:6" ht="17.25" hidden="1" customHeight="1" thickBot="1" x14ac:dyDescent="0.3">
      <c r="B159" s="114" t="s">
        <v>17</v>
      </c>
      <c r="C159" s="804" t="s">
        <v>106</v>
      </c>
      <c r="D159" s="805"/>
      <c r="E159" s="805"/>
      <c r="F159" s="806"/>
    </row>
    <row r="160" spans="2:6" ht="36.6" hidden="1" customHeight="1" thickBot="1" x14ac:dyDescent="0.3">
      <c r="B160" s="114" t="s">
        <v>18</v>
      </c>
      <c r="C160" s="807" t="s">
        <v>106</v>
      </c>
      <c r="D160" s="808"/>
      <c r="E160" s="808"/>
      <c r="F160" s="809"/>
    </row>
    <row r="161" spans="2:6" ht="40.15" hidden="1" customHeight="1" x14ac:dyDescent="0.25">
      <c r="B161" s="810"/>
      <c r="C161" s="112">
        <v>2018</v>
      </c>
      <c r="D161" s="112">
        <v>2019</v>
      </c>
      <c r="E161" s="112">
        <v>2020</v>
      </c>
      <c r="F161" s="112">
        <v>2021</v>
      </c>
    </row>
    <row r="162" spans="2:6" ht="38.450000000000003" hidden="1" customHeight="1" thickBot="1" x14ac:dyDescent="0.3">
      <c r="B162" s="811"/>
      <c r="C162" s="111" t="s">
        <v>10</v>
      </c>
      <c r="D162" s="111" t="s">
        <v>11</v>
      </c>
      <c r="E162" s="111" t="s">
        <v>11</v>
      </c>
      <c r="F162" s="111" t="s">
        <v>11</v>
      </c>
    </row>
    <row r="163" spans="2:6" ht="31.15" hidden="1" customHeight="1" thickBot="1" x14ac:dyDescent="0.3">
      <c r="B163" s="114" t="s">
        <v>19</v>
      </c>
      <c r="C163" s="115"/>
      <c r="D163" s="115"/>
      <c r="E163" s="115"/>
      <c r="F163" s="115"/>
    </row>
    <row r="164" spans="2:6" ht="45.6" hidden="1" customHeight="1" thickBot="1" x14ac:dyDescent="0.3">
      <c r="B164" s="114" t="s">
        <v>20</v>
      </c>
      <c r="C164" s="115"/>
      <c r="D164" s="115"/>
      <c r="E164" s="115"/>
      <c r="F164" s="115"/>
    </row>
    <row r="165" spans="2:6" ht="39.6" hidden="1" customHeight="1" thickBot="1" x14ac:dyDescent="0.3">
      <c r="B165" s="114" t="s">
        <v>21</v>
      </c>
      <c r="C165" s="115" t="e">
        <f>C164/C163</f>
        <v>#DIV/0!</v>
      </c>
      <c r="D165" s="115" t="e">
        <f t="shared" ref="D165:F165" si="14">D164/D163</f>
        <v>#DIV/0!</v>
      </c>
      <c r="E165" s="115" t="e">
        <f t="shared" si="14"/>
        <v>#DIV/0!</v>
      </c>
      <c r="F165" s="115" t="e">
        <f t="shared" si="14"/>
        <v>#DIV/0!</v>
      </c>
    </row>
    <row r="166" spans="2:6" ht="36" hidden="1" customHeight="1" thickBot="1" x14ac:dyDescent="0.3">
      <c r="B166" s="114" t="s">
        <v>22</v>
      </c>
      <c r="C166" s="148" t="s">
        <v>23</v>
      </c>
      <c r="D166" s="113" t="e">
        <f>D163/C163-1</f>
        <v>#DIV/0!</v>
      </c>
      <c r="E166" s="113" t="e">
        <f t="shared" ref="E166:F168" si="15">E163/D163-1</f>
        <v>#DIV/0!</v>
      </c>
      <c r="F166" s="113" t="e">
        <f t="shared" si="15"/>
        <v>#DIV/0!</v>
      </c>
    </row>
    <row r="167" spans="2:6" ht="29.45" hidden="1" customHeight="1" thickBot="1" x14ac:dyDescent="0.3">
      <c r="B167" s="114" t="s">
        <v>24</v>
      </c>
      <c r="C167" s="148" t="s">
        <v>23</v>
      </c>
      <c r="D167" s="113" t="e">
        <f>D164/C164-1</f>
        <v>#DIV/0!</v>
      </c>
      <c r="E167" s="113" t="e">
        <f t="shared" si="15"/>
        <v>#DIV/0!</v>
      </c>
      <c r="F167" s="113" t="e">
        <f t="shared" si="15"/>
        <v>#DIV/0!</v>
      </c>
    </row>
    <row r="168" spans="2:6" ht="40.9" hidden="1" customHeight="1" thickBot="1" x14ac:dyDescent="0.3">
      <c r="B168" s="114" t="s">
        <v>25</v>
      </c>
      <c r="C168" s="148" t="s">
        <v>23</v>
      </c>
      <c r="D168" s="113" t="e">
        <f>D165/C165-1</f>
        <v>#DIV/0!</v>
      </c>
      <c r="E168" s="113" t="e">
        <f t="shared" si="15"/>
        <v>#DIV/0!</v>
      </c>
      <c r="F168" s="113" t="e">
        <f t="shared" si="15"/>
        <v>#DIV/0!</v>
      </c>
    </row>
    <row r="169" spans="2:6" ht="33.6" hidden="1" customHeight="1" thickBot="1" x14ac:dyDescent="0.3">
      <c r="B169" s="812" t="s">
        <v>629</v>
      </c>
      <c r="C169" s="813"/>
      <c r="D169" s="813"/>
      <c r="E169" s="813"/>
      <c r="F169" s="814"/>
    </row>
    <row r="170" spans="2:6" ht="31.15" hidden="1" customHeight="1" x14ac:dyDescent="0.25">
      <c r="B170" s="810"/>
      <c r="C170" s="112">
        <v>2018</v>
      </c>
      <c r="D170" s="112">
        <v>2019</v>
      </c>
      <c r="E170" s="112">
        <v>2020</v>
      </c>
      <c r="F170" s="112">
        <v>2021</v>
      </c>
    </row>
    <row r="171" spans="2:6" ht="24.6" hidden="1" customHeight="1" thickBot="1" x14ac:dyDescent="0.3">
      <c r="B171" s="811"/>
      <c r="C171" s="111" t="s">
        <v>10</v>
      </c>
      <c r="D171" s="111" t="s">
        <v>11</v>
      </c>
      <c r="E171" s="111" t="s">
        <v>11</v>
      </c>
      <c r="F171" s="111" t="s">
        <v>11</v>
      </c>
    </row>
    <row r="172" spans="2:6" ht="22.9" hidden="1" customHeight="1" thickBot="1" x14ac:dyDescent="0.3">
      <c r="B172" s="100" t="s">
        <v>58</v>
      </c>
      <c r="C172" s="93"/>
      <c r="D172" s="93"/>
      <c r="E172" s="93"/>
      <c r="F172" s="93"/>
    </row>
    <row r="173" spans="2:6" ht="21.6" hidden="1" customHeight="1" thickBot="1" x14ac:dyDescent="0.3">
      <c r="B173" s="100" t="s">
        <v>59</v>
      </c>
      <c r="C173" s="98"/>
      <c r="D173" s="93"/>
      <c r="E173" s="93"/>
      <c r="F173" s="93"/>
    </row>
    <row r="174" spans="2:6" ht="27" hidden="1" customHeight="1" thickBot="1" x14ac:dyDescent="0.3">
      <c r="B174" s="119" t="s">
        <v>74</v>
      </c>
      <c r="C174" s="98">
        <f>C173+C172</f>
        <v>0</v>
      </c>
      <c r="D174" s="98">
        <f t="shared" ref="D174:F174" si="16">D173+D172</f>
        <v>0</v>
      </c>
      <c r="E174" s="98">
        <f t="shared" si="16"/>
        <v>0</v>
      </c>
      <c r="F174" s="98">
        <f t="shared" si="16"/>
        <v>0</v>
      </c>
    </row>
    <row r="175" spans="2:6" ht="30" customHeight="1" thickBot="1" x14ac:dyDescent="0.3">
      <c r="B175" s="650" t="s">
        <v>67</v>
      </c>
      <c r="C175" s="897" t="s">
        <v>592</v>
      </c>
      <c r="D175" s="898"/>
      <c r="E175" s="898"/>
      <c r="F175" s="899"/>
    </row>
    <row r="176" spans="2:6" ht="15.75" customHeight="1" thickBot="1" x14ac:dyDescent="0.3">
      <c r="B176" s="804" t="s">
        <v>68</v>
      </c>
      <c r="C176" s="805"/>
      <c r="D176" s="805"/>
      <c r="E176" s="805"/>
      <c r="F176" s="806"/>
    </row>
    <row r="177" spans="2:6" ht="30.75" thickBot="1" x14ac:dyDescent="0.3">
      <c r="B177" s="149" t="s">
        <v>593</v>
      </c>
      <c r="C177" s="353"/>
      <c r="D177" s="353"/>
      <c r="E177" s="353"/>
      <c r="F177" s="353"/>
    </row>
    <row r="178" spans="2:6" ht="37.15" customHeight="1" thickBot="1" x14ac:dyDescent="0.3">
      <c r="B178" s="149" t="s">
        <v>594</v>
      </c>
      <c r="C178" s="353"/>
      <c r="D178" s="353"/>
      <c r="E178" s="353"/>
      <c r="F178" s="353"/>
    </row>
    <row r="179" spans="2:6" ht="23.25" customHeight="1" thickBot="1" x14ac:dyDescent="0.3">
      <c r="B179" s="827" t="s">
        <v>69</v>
      </c>
      <c r="C179" s="828"/>
      <c r="D179" s="828"/>
      <c r="E179" s="828"/>
      <c r="F179" s="829"/>
    </row>
    <row r="180" spans="2:6" ht="23.25" customHeight="1" thickBot="1" x14ac:dyDescent="0.3">
      <c r="B180" s="830" t="s">
        <v>70</v>
      </c>
      <c r="C180" s="831"/>
      <c r="D180" s="831"/>
      <c r="E180" s="831"/>
      <c r="F180" s="832"/>
    </row>
    <row r="181" spans="2:6" ht="12.75" customHeight="1" x14ac:dyDescent="0.25">
      <c r="B181" s="810"/>
      <c r="C181" s="112">
        <v>2018</v>
      </c>
      <c r="D181" s="112">
        <v>2019</v>
      </c>
      <c r="E181" s="112">
        <v>2020</v>
      </c>
      <c r="F181" s="112">
        <v>2021</v>
      </c>
    </row>
    <row r="182" spans="2:6" ht="14.45" customHeight="1" thickBot="1" x14ac:dyDescent="0.3">
      <c r="B182" s="811"/>
      <c r="C182" s="111" t="s">
        <v>10</v>
      </c>
      <c r="D182" s="111" t="s">
        <v>11</v>
      </c>
      <c r="E182" s="111" t="s">
        <v>11</v>
      </c>
      <c r="F182" s="111" t="s">
        <v>11</v>
      </c>
    </row>
    <row r="183" spans="2:6" ht="26.25" customHeight="1" thickBot="1" x14ac:dyDescent="0.3">
      <c r="B183" s="116" t="s">
        <v>16</v>
      </c>
      <c r="C183" s="833" t="s">
        <v>595</v>
      </c>
      <c r="D183" s="834"/>
      <c r="E183" s="834"/>
      <c r="F183" s="835"/>
    </row>
    <row r="184" spans="2:6" ht="16.5" customHeight="1" thickBot="1" x14ac:dyDescent="0.3">
      <c r="B184" s="114" t="s">
        <v>17</v>
      </c>
      <c r="C184" s="804" t="s">
        <v>596</v>
      </c>
      <c r="D184" s="805"/>
      <c r="E184" s="805"/>
      <c r="F184" s="806"/>
    </row>
    <row r="185" spans="2:6" ht="15.75" customHeight="1" thickBot="1" x14ac:dyDescent="0.3">
      <c r="B185" s="114" t="s">
        <v>18</v>
      </c>
      <c r="C185" s="807" t="s">
        <v>583</v>
      </c>
      <c r="D185" s="808"/>
      <c r="E185" s="808"/>
      <c r="F185" s="809"/>
    </row>
    <row r="186" spans="2:6" ht="12.75" customHeight="1" x14ac:dyDescent="0.25">
      <c r="B186" s="810"/>
      <c r="C186" s="112">
        <v>2018</v>
      </c>
      <c r="D186" s="112">
        <v>2019</v>
      </c>
      <c r="E186" s="112">
        <v>2020</v>
      </c>
      <c r="F186" s="112">
        <v>2021</v>
      </c>
    </row>
    <row r="187" spans="2:6" ht="15.6" customHeight="1" thickBot="1" x14ac:dyDescent="0.3">
      <c r="B187" s="811"/>
      <c r="C187" s="111" t="s">
        <v>10</v>
      </c>
      <c r="D187" s="111" t="s">
        <v>11</v>
      </c>
      <c r="E187" s="111" t="s">
        <v>11</v>
      </c>
      <c r="F187" s="111" t="s">
        <v>11</v>
      </c>
    </row>
    <row r="188" spans="2:6" ht="15.75" customHeight="1" thickBot="1" x14ac:dyDescent="0.3">
      <c r="B188" s="114" t="s">
        <v>19</v>
      </c>
      <c r="C188" s="346"/>
      <c r="D188" s="354"/>
      <c r="E188" s="354"/>
      <c r="F188" s="354"/>
    </row>
    <row r="189" spans="2:6" ht="15.75" thickBot="1" x14ac:dyDescent="0.3">
      <c r="B189" s="114" t="s">
        <v>20</v>
      </c>
      <c r="C189" s="115">
        <f>C206</f>
        <v>80683</v>
      </c>
      <c r="D189" s="115">
        <f t="shared" ref="D189:F189" si="17">D206</f>
        <v>98562</v>
      </c>
      <c r="E189" s="115">
        <f t="shared" si="17"/>
        <v>80562</v>
      </c>
      <c r="F189" s="115">
        <f t="shared" si="17"/>
        <v>80562</v>
      </c>
    </row>
    <row r="190" spans="2:6" ht="15.75" thickBot="1" x14ac:dyDescent="0.3">
      <c r="B190" s="114" t="s">
        <v>21</v>
      </c>
      <c r="C190" s="115" t="e">
        <f>C189/C188</f>
        <v>#DIV/0!</v>
      </c>
      <c r="D190" s="115" t="e">
        <f t="shared" ref="D190:F190" si="18">D189/D188</f>
        <v>#DIV/0!</v>
      </c>
      <c r="E190" s="115" t="e">
        <f t="shared" si="18"/>
        <v>#DIV/0!</v>
      </c>
      <c r="F190" s="115" t="e">
        <f t="shared" si="18"/>
        <v>#DIV/0!</v>
      </c>
    </row>
    <row r="191" spans="2:6" ht="15.75" thickBot="1" x14ac:dyDescent="0.3">
      <c r="B191" s="114" t="s">
        <v>22</v>
      </c>
      <c r="C191" s="148"/>
      <c r="D191" s="113" t="e">
        <f>D188/C188-1</f>
        <v>#DIV/0!</v>
      </c>
      <c r="E191" s="113" t="e">
        <f t="shared" ref="E191:F193" si="19">E188/D188-1</f>
        <v>#DIV/0!</v>
      </c>
      <c r="F191" s="113" t="e">
        <f t="shared" si="19"/>
        <v>#DIV/0!</v>
      </c>
    </row>
    <row r="192" spans="2:6" ht="15.75" thickBot="1" x14ac:dyDescent="0.3">
      <c r="B192" s="114" t="s">
        <v>24</v>
      </c>
      <c r="C192" s="148"/>
      <c r="D192" s="113">
        <f>D189/C189-1</f>
        <v>0.22159562733165594</v>
      </c>
      <c r="E192" s="113">
        <f t="shared" si="19"/>
        <v>-0.18262616424179701</v>
      </c>
      <c r="F192" s="113">
        <f t="shared" si="19"/>
        <v>0</v>
      </c>
    </row>
    <row r="193" spans="2:6" ht="15.75" thickBot="1" x14ac:dyDescent="0.3">
      <c r="B193" s="114" t="s">
        <v>25</v>
      </c>
      <c r="C193" s="148"/>
      <c r="D193" s="113" t="e">
        <f>D190/C190-1</f>
        <v>#DIV/0!</v>
      </c>
      <c r="E193" s="113" t="e">
        <f t="shared" si="19"/>
        <v>#DIV/0!</v>
      </c>
      <c r="F193" s="113" t="e">
        <f t="shared" si="19"/>
        <v>#DIV/0!</v>
      </c>
    </row>
    <row r="194" spans="2:6" ht="12.75" customHeight="1" x14ac:dyDescent="0.25">
      <c r="B194" s="810"/>
      <c r="C194" s="112">
        <v>2018</v>
      </c>
      <c r="D194" s="112">
        <v>2019</v>
      </c>
      <c r="E194" s="112">
        <v>2020</v>
      </c>
      <c r="F194" s="112">
        <v>2021</v>
      </c>
    </row>
    <row r="195" spans="2:6" ht="28.5" customHeight="1" thickBot="1" x14ac:dyDescent="0.3">
      <c r="B195" s="811"/>
      <c r="C195" s="111" t="s">
        <v>10</v>
      </c>
      <c r="D195" s="111" t="s">
        <v>11</v>
      </c>
      <c r="E195" s="111" t="s">
        <v>11</v>
      </c>
      <c r="F195" s="111" t="s">
        <v>11</v>
      </c>
    </row>
    <row r="196" spans="2:6" ht="15.75" customHeight="1" thickBot="1" x14ac:dyDescent="0.3">
      <c r="B196" s="812" t="s">
        <v>612</v>
      </c>
      <c r="C196" s="813"/>
      <c r="D196" s="813"/>
      <c r="E196" s="813"/>
      <c r="F196" s="814"/>
    </row>
    <row r="197" spans="2:6" ht="12.75" customHeight="1" x14ac:dyDescent="0.25">
      <c r="B197" s="810"/>
      <c r="C197" s="112">
        <v>2018</v>
      </c>
      <c r="D197" s="112">
        <v>2019</v>
      </c>
      <c r="E197" s="112">
        <v>2020</v>
      </c>
      <c r="F197" s="112">
        <v>2021</v>
      </c>
    </row>
    <row r="198" spans="2:6" ht="14.45" customHeight="1" thickBot="1" x14ac:dyDescent="0.3">
      <c r="B198" s="811"/>
      <c r="C198" s="111" t="s">
        <v>10</v>
      </c>
      <c r="D198" s="111" t="s">
        <v>11</v>
      </c>
      <c r="E198" s="111" t="s">
        <v>11</v>
      </c>
      <c r="F198" s="111" t="s">
        <v>11</v>
      </c>
    </row>
    <row r="199" spans="2:6" ht="15.75" thickBot="1" x14ac:dyDescent="0.3">
      <c r="B199" s="100" t="s">
        <v>26</v>
      </c>
      <c r="C199" s="93">
        <v>22400</v>
      </c>
      <c r="D199" s="93">
        <v>23120</v>
      </c>
      <c r="E199" s="93">
        <v>23120</v>
      </c>
      <c r="F199" s="93">
        <v>23120</v>
      </c>
    </row>
    <row r="200" spans="2:6" ht="15.75" thickBot="1" x14ac:dyDescent="0.3">
      <c r="B200" s="100" t="s">
        <v>28</v>
      </c>
      <c r="C200" s="93">
        <v>3700</v>
      </c>
      <c r="D200" s="93">
        <v>3700</v>
      </c>
      <c r="E200" s="93">
        <v>3700</v>
      </c>
      <c r="F200" s="93">
        <v>3700</v>
      </c>
    </row>
    <row r="201" spans="2:6" ht="15.75" thickBot="1" x14ac:dyDescent="0.3">
      <c r="B201" s="100" t="s">
        <v>30</v>
      </c>
      <c r="C201" s="115">
        <v>54583</v>
      </c>
      <c r="D201" s="115">
        <v>71742</v>
      </c>
      <c r="E201" s="115">
        <v>53742</v>
      </c>
      <c r="F201" s="115">
        <v>53742</v>
      </c>
    </row>
    <row r="202" spans="2:6" ht="15.75" hidden="1" customHeight="1" thickBot="1" x14ac:dyDescent="0.3">
      <c r="B202" s="100" t="s">
        <v>32</v>
      </c>
      <c r="C202" s="98">
        <v>0</v>
      </c>
      <c r="D202" s="98">
        <v>0</v>
      </c>
      <c r="E202" s="98">
        <v>0</v>
      </c>
      <c r="F202" s="98">
        <v>0</v>
      </c>
    </row>
    <row r="203" spans="2:6" ht="24.75" hidden="1" customHeight="1" thickBot="1" x14ac:dyDescent="0.3">
      <c r="B203" s="100" t="s">
        <v>34</v>
      </c>
      <c r="C203" s="98">
        <v>0</v>
      </c>
      <c r="D203" s="98">
        <v>0</v>
      </c>
      <c r="E203" s="98">
        <v>0</v>
      </c>
      <c r="F203" s="98">
        <v>0</v>
      </c>
    </row>
    <row r="204" spans="2:6" ht="15.75" hidden="1" customHeight="1" thickBot="1" x14ac:dyDescent="0.3">
      <c r="B204" s="100" t="s">
        <v>36</v>
      </c>
      <c r="C204" s="98">
        <v>0</v>
      </c>
      <c r="D204" s="98">
        <v>0</v>
      </c>
      <c r="E204" s="98">
        <v>0</v>
      </c>
      <c r="F204" s="98">
        <v>0</v>
      </c>
    </row>
    <row r="205" spans="2:6" ht="24.75" hidden="1" customHeight="1" thickBot="1" x14ac:dyDescent="0.3">
      <c r="B205" s="100" t="s">
        <v>38</v>
      </c>
      <c r="C205" s="98">
        <v>0</v>
      </c>
      <c r="D205" s="98">
        <v>0</v>
      </c>
      <c r="E205" s="98">
        <v>0</v>
      </c>
      <c r="F205" s="98">
        <v>0</v>
      </c>
    </row>
    <row r="206" spans="2:6" ht="29.25" thickBot="1" x14ac:dyDescent="0.3">
      <c r="B206" s="109" t="s">
        <v>71</v>
      </c>
      <c r="C206" s="108">
        <f>C205+C204+C203+C202+C201+C200+C199</f>
        <v>80683</v>
      </c>
      <c r="D206" s="108">
        <f>D205+D204+D203+D202+D201+D200+D199</f>
        <v>98562</v>
      </c>
      <c r="E206" s="108">
        <f>E205+E204+E203+E202+E201+E200+E199</f>
        <v>80562</v>
      </c>
      <c r="F206" s="108">
        <f>F205+F204+F203+F202+F201+F200+F199</f>
        <v>80562</v>
      </c>
    </row>
    <row r="207" spans="2:6" ht="15.75" thickBot="1" x14ac:dyDescent="0.3">
      <c r="B207" s="96" t="s">
        <v>41</v>
      </c>
      <c r="C207" s="95">
        <f>IF(C206-C189=0,0,"Error")</f>
        <v>0</v>
      </c>
      <c r="D207" s="95">
        <f>IF(D206-D189=0,0,"Error")</f>
        <v>0</v>
      </c>
      <c r="E207" s="95">
        <f>IF(E206-E189=0,0,"Error")</f>
        <v>0</v>
      </c>
      <c r="F207" s="95">
        <f>IF(F206-F189=0,0,"Error")</f>
        <v>0</v>
      </c>
    </row>
    <row r="208" spans="2:6" ht="15.75" thickBot="1" x14ac:dyDescent="0.3">
      <c r="B208" s="833" t="s">
        <v>63</v>
      </c>
      <c r="C208" s="834"/>
      <c r="D208" s="834"/>
      <c r="E208" s="834"/>
      <c r="F208" s="835"/>
    </row>
    <row r="209" spans="2:6" ht="15.75" thickBot="1" x14ac:dyDescent="0.3">
      <c r="B209" s="833" t="s">
        <v>56</v>
      </c>
      <c r="C209" s="834"/>
      <c r="D209" s="834"/>
      <c r="E209" s="834"/>
      <c r="F209" s="835"/>
    </row>
    <row r="210" spans="2:6" ht="15.75" thickBot="1" x14ac:dyDescent="0.3">
      <c r="B210" s="120" t="s">
        <v>61</v>
      </c>
      <c r="C210" s="842"/>
      <c r="D210" s="843"/>
      <c r="E210" s="843"/>
      <c r="F210" s="844"/>
    </row>
    <row r="211" spans="2:6" ht="15.75" thickBot="1" x14ac:dyDescent="0.3">
      <c r="B211" s="116" t="s">
        <v>16</v>
      </c>
      <c r="C211" s="833" t="s">
        <v>595</v>
      </c>
      <c r="D211" s="834"/>
      <c r="E211" s="834"/>
      <c r="F211" s="835"/>
    </row>
    <row r="212" spans="2:6" ht="17.25" customHeight="1" thickBot="1" x14ac:dyDescent="0.3">
      <c r="B212" s="114" t="s">
        <v>17</v>
      </c>
      <c r="C212" s="804"/>
      <c r="D212" s="805"/>
      <c r="E212" s="805"/>
      <c r="F212" s="806"/>
    </row>
    <row r="213" spans="2:6" ht="15.75" thickBot="1" x14ac:dyDescent="0.3">
      <c r="B213" s="114" t="s">
        <v>18</v>
      </c>
      <c r="C213" s="807" t="s">
        <v>597</v>
      </c>
      <c r="D213" s="808"/>
      <c r="E213" s="808"/>
      <c r="F213" s="809"/>
    </row>
    <row r="214" spans="2:6" ht="12.75" customHeight="1" x14ac:dyDescent="0.25">
      <c r="B214" s="810"/>
      <c r="C214" s="112">
        <v>2018</v>
      </c>
      <c r="D214" s="112">
        <v>2019</v>
      </c>
      <c r="E214" s="112">
        <v>2020</v>
      </c>
      <c r="F214" s="112">
        <v>2021</v>
      </c>
    </row>
    <row r="215" spans="2:6" ht="14.45" customHeight="1" thickBot="1" x14ac:dyDescent="0.3">
      <c r="B215" s="811"/>
      <c r="C215" s="111" t="s">
        <v>10</v>
      </c>
      <c r="D215" s="111" t="s">
        <v>11</v>
      </c>
      <c r="E215" s="111" t="s">
        <v>11</v>
      </c>
      <c r="F215" s="111" t="s">
        <v>11</v>
      </c>
    </row>
    <row r="216" spans="2:6" ht="15.75" thickBot="1" x14ac:dyDescent="0.3">
      <c r="B216" s="114" t="s">
        <v>19</v>
      </c>
      <c r="C216" s="346">
        <v>9</v>
      </c>
      <c r="D216" s="115">
        <v>1</v>
      </c>
      <c r="E216" s="115">
        <v>1</v>
      </c>
      <c r="F216" s="115">
        <v>1</v>
      </c>
    </row>
    <row r="217" spans="2:6" ht="15.75" thickBot="1" x14ac:dyDescent="0.3">
      <c r="B217" s="114" t="s">
        <v>20</v>
      </c>
      <c r="C217" s="355">
        <v>55114</v>
      </c>
      <c r="D217" s="115">
        <v>48000</v>
      </c>
      <c r="E217" s="115">
        <v>3000</v>
      </c>
      <c r="F217" s="115">
        <v>13000</v>
      </c>
    </row>
    <row r="218" spans="2:6" ht="15.75" thickBot="1" x14ac:dyDescent="0.3">
      <c r="B218" s="114" t="s">
        <v>21</v>
      </c>
      <c r="C218" s="115">
        <f>C217/C216</f>
        <v>6123.7777777777774</v>
      </c>
      <c r="D218" s="115"/>
      <c r="E218" s="115"/>
      <c r="F218" s="115"/>
    </row>
    <row r="219" spans="2:6" ht="15.75" thickBot="1" x14ac:dyDescent="0.3">
      <c r="B219" s="114" t="s">
        <v>22</v>
      </c>
      <c r="C219" s="148" t="s">
        <v>23</v>
      </c>
      <c r="D219" s="356"/>
      <c r="E219" s="356"/>
      <c r="F219" s="356"/>
    </row>
    <row r="220" spans="2:6" ht="15.75" thickBot="1" x14ac:dyDescent="0.3">
      <c r="B220" s="114" t="s">
        <v>24</v>
      </c>
      <c r="C220" s="148" t="s">
        <v>23</v>
      </c>
      <c r="D220" s="356"/>
      <c r="E220" s="356"/>
      <c r="F220" s="356"/>
    </row>
    <row r="221" spans="2:6" ht="15.75" thickBot="1" x14ac:dyDescent="0.3">
      <c r="B221" s="114" t="s">
        <v>25</v>
      </c>
      <c r="C221" s="148" t="s">
        <v>23</v>
      </c>
      <c r="D221" s="356"/>
      <c r="E221" s="356"/>
      <c r="F221" s="356"/>
    </row>
    <row r="222" spans="2:6" ht="15.75" thickBot="1" x14ac:dyDescent="0.3">
      <c r="B222" s="812" t="s">
        <v>630</v>
      </c>
      <c r="C222" s="813"/>
      <c r="D222" s="813"/>
      <c r="E222" s="813"/>
      <c r="F222" s="814"/>
    </row>
    <row r="223" spans="2:6" ht="12.75" customHeight="1" x14ac:dyDescent="0.25">
      <c r="B223" s="810"/>
      <c r="C223" s="112">
        <v>2018</v>
      </c>
      <c r="D223" s="112">
        <v>2019</v>
      </c>
      <c r="E223" s="112">
        <v>2020</v>
      </c>
      <c r="F223" s="112">
        <v>2021</v>
      </c>
    </row>
    <row r="224" spans="2:6" ht="13.15" customHeight="1" thickBot="1" x14ac:dyDescent="0.3">
      <c r="B224" s="811"/>
      <c r="C224" s="111" t="s">
        <v>10</v>
      </c>
      <c r="D224" s="111" t="s">
        <v>11</v>
      </c>
      <c r="E224" s="111" t="s">
        <v>11</v>
      </c>
      <c r="F224" s="111" t="s">
        <v>11</v>
      </c>
    </row>
    <row r="225" spans="2:6" ht="15.75" thickBot="1" x14ac:dyDescent="0.3">
      <c r="B225" s="100" t="s">
        <v>58</v>
      </c>
      <c r="C225" s="93">
        <v>0</v>
      </c>
      <c r="D225" s="93">
        <v>0</v>
      </c>
      <c r="E225" s="93">
        <v>0</v>
      </c>
      <c r="F225" s="93">
        <v>0</v>
      </c>
    </row>
    <row r="226" spans="2:6" ht="15.75" thickBot="1" x14ac:dyDescent="0.3">
      <c r="B226" s="100" t="s">
        <v>59</v>
      </c>
      <c r="C226" s="93">
        <v>55114</v>
      </c>
      <c r="D226" s="93">
        <v>48000</v>
      </c>
      <c r="E226" s="93">
        <v>3000</v>
      </c>
      <c r="F226" s="93">
        <v>13000</v>
      </c>
    </row>
    <row r="227" spans="2:6" ht="48.75" customHeight="1" thickBot="1" x14ac:dyDescent="0.3">
      <c r="B227" s="361" t="s">
        <v>40</v>
      </c>
      <c r="C227" s="93">
        <f>C225+C226</f>
        <v>55114</v>
      </c>
      <c r="D227" s="93">
        <f t="shared" ref="D227:F227" si="20">D226+D225</f>
        <v>48000</v>
      </c>
      <c r="E227" s="93">
        <f t="shared" si="20"/>
        <v>3000</v>
      </c>
      <c r="F227" s="93">
        <f t="shared" si="20"/>
        <v>13000</v>
      </c>
    </row>
    <row r="228" spans="2:6" ht="15.75" thickBot="1" x14ac:dyDescent="0.3">
      <c r="B228" s="357"/>
      <c r="C228" s="358"/>
      <c r="D228" s="358"/>
      <c r="E228" s="358"/>
      <c r="F228" s="359"/>
    </row>
    <row r="229" spans="2:6" ht="15.75" thickBot="1" x14ac:dyDescent="0.3">
      <c r="B229" s="360" t="s">
        <v>75</v>
      </c>
      <c r="C229" s="894" t="s">
        <v>598</v>
      </c>
      <c r="D229" s="895"/>
      <c r="E229" s="895"/>
      <c r="F229" s="896"/>
    </row>
    <row r="230" spans="2:6" ht="15.75" thickBot="1" x14ac:dyDescent="0.3">
      <c r="B230" s="804" t="s">
        <v>599</v>
      </c>
      <c r="C230" s="805"/>
      <c r="D230" s="805"/>
      <c r="E230" s="805"/>
      <c r="F230" s="806"/>
    </row>
    <row r="231" spans="2:6" ht="30.75" thickBot="1" x14ac:dyDescent="0.3">
      <c r="B231" s="149" t="s">
        <v>830</v>
      </c>
      <c r="C231" s="117" t="s">
        <v>116</v>
      </c>
      <c r="D231" s="117" t="s">
        <v>117</v>
      </c>
      <c r="E231" s="117" t="s">
        <v>117</v>
      </c>
      <c r="F231" s="117" t="s">
        <v>117</v>
      </c>
    </row>
    <row r="232" spans="2:6" ht="30.75" thickBot="1" x14ac:dyDescent="0.3">
      <c r="B232" s="114" t="s">
        <v>600</v>
      </c>
      <c r="C232" s="117" t="s">
        <v>116</v>
      </c>
      <c r="D232" s="117" t="s">
        <v>117</v>
      </c>
      <c r="E232" s="117" t="s">
        <v>117</v>
      </c>
      <c r="F232" s="117" t="s">
        <v>117</v>
      </c>
    </row>
    <row r="233" spans="2:6" ht="15.75" thickBot="1" x14ac:dyDescent="0.3">
      <c r="B233" s="833" t="s">
        <v>77</v>
      </c>
      <c r="C233" s="834"/>
      <c r="D233" s="834"/>
      <c r="E233" s="834"/>
      <c r="F233" s="835"/>
    </row>
    <row r="234" spans="2:6" ht="15.75" thickBot="1" x14ac:dyDescent="0.3">
      <c r="B234" s="833" t="s">
        <v>104</v>
      </c>
      <c r="C234" s="834"/>
      <c r="D234" s="834"/>
      <c r="E234" s="834"/>
      <c r="F234" s="835"/>
    </row>
    <row r="235" spans="2:6" ht="15.75" thickBot="1" x14ac:dyDescent="0.3">
      <c r="B235" s="116" t="s">
        <v>105</v>
      </c>
      <c r="C235" s="833" t="s">
        <v>601</v>
      </c>
      <c r="D235" s="834"/>
      <c r="E235" s="834"/>
      <c r="F235" s="835"/>
    </row>
    <row r="236" spans="2:6" ht="55.9" customHeight="1" thickBot="1" x14ac:dyDescent="0.3">
      <c r="B236" s="114" t="s">
        <v>17</v>
      </c>
      <c r="C236" s="848" t="s">
        <v>602</v>
      </c>
      <c r="D236" s="849"/>
      <c r="E236" s="849"/>
      <c r="F236" s="850"/>
    </row>
    <row r="237" spans="2:6" ht="15.75" thickBot="1" x14ac:dyDescent="0.3">
      <c r="B237" s="114" t="s">
        <v>18</v>
      </c>
      <c r="C237" s="882" t="s">
        <v>583</v>
      </c>
      <c r="D237" s="883"/>
      <c r="E237" s="883"/>
      <c r="F237" s="884"/>
    </row>
    <row r="238" spans="2:6" x14ac:dyDescent="0.25">
      <c r="B238" s="810"/>
      <c r="C238" s="112">
        <v>2018</v>
      </c>
      <c r="D238" s="112">
        <v>2019</v>
      </c>
      <c r="E238" s="112">
        <v>2020</v>
      </c>
      <c r="F238" s="112">
        <v>2021</v>
      </c>
    </row>
    <row r="239" spans="2:6" ht="15.75" thickBot="1" x14ac:dyDescent="0.3">
      <c r="B239" s="811"/>
      <c r="C239" s="111" t="s">
        <v>10</v>
      </c>
      <c r="D239" s="111" t="s">
        <v>11</v>
      </c>
      <c r="E239" s="111" t="s">
        <v>11</v>
      </c>
      <c r="F239" s="111" t="s">
        <v>11</v>
      </c>
    </row>
    <row r="240" spans="2:6" ht="15.75" thickBot="1" x14ac:dyDescent="0.3">
      <c r="B240" s="114" t="s">
        <v>19</v>
      </c>
      <c r="C240" s="115">
        <v>12</v>
      </c>
      <c r="D240" s="115">
        <v>11</v>
      </c>
      <c r="E240" s="115">
        <v>12</v>
      </c>
      <c r="F240" s="115">
        <v>12</v>
      </c>
    </row>
    <row r="241" spans="2:6" ht="15.75" thickBot="1" x14ac:dyDescent="0.3">
      <c r="B241" s="114" t="s">
        <v>20</v>
      </c>
      <c r="C241" s="115">
        <v>67600</v>
      </c>
      <c r="D241" s="115">
        <v>42158</v>
      </c>
      <c r="E241" s="115">
        <v>38298</v>
      </c>
      <c r="F241" s="115">
        <v>37698</v>
      </c>
    </row>
    <row r="242" spans="2:6" ht="15.75" thickBot="1" x14ac:dyDescent="0.3">
      <c r="B242" s="114" t="s">
        <v>21</v>
      </c>
      <c r="C242" s="115">
        <f>C241/C240</f>
        <v>5633.333333333333</v>
      </c>
      <c r="D242" s="115">
        <f t="shared" ref="D242:F242" si="21">D241/D240</f>
        <v>3832.5454545454545</v>
      </c>
      <c r="E242" s="115">
        <f t="shared" si="21"/>
        <v>3191.5</v>
      </c>
      <c r="F242" s="115">
        <f t="shared" si="21"/>
        <v>3141.5</v>
      </c>
    </row>
    <row r="243" spans="2:6" ht="15.75" thickBot="1" x14ac:dyDescent="0.3">
      <c r="B243" s="114" t="s">
        <v>22</v>
      </c>
      <c r="C243" s="148" t="s">
        <v>23</v>
      </c>
      <c r="D243" s="113">
        <f>D240/C240-1</f>
        <v>-8.333333333333337E-2</v>
      </c>
      <c r="E243" s="113">
        <f t="shared" ref="E243:F245" si="22">E240/D240-1</f>
        <v>9.0909090909090828E-2</v>
      </c>
      <c r="F243" s="113">
        <f t="shared" si="22"/>
        <v>0</v>
      </c>
    </row>
    <row r="244" spans="2:6" ht="15.75" thickBot="1" x14ac:dyDescent="0.3">
      <c r="B244" s="114" t="s">
        <v>24</v>
      </c>
      <c r="C244" s="148" t="s">
        <v>23</v>
      </c>
      <c r="D244" s="113">
        <f>D241/C241-1</f>
        <v>-0.37636094674556209</v>
      </c>
      <c r="E244" s="113">
        <f t="shared" si="22"/>
        <v>-9.1560320698325315E-2</v>
      </c>
      <c r="F244" s="113">
        <f t="shared" si="22"/>
        <v>-1.5666614444618476E-2</v>
      </c>
    </row>
    <row r="245" spans="2:6" ht="15.75" thickBot="1" x14ac:dyDescent="0.3">
      <c r="B245" s="114" t="s">
        <v>25</v>
      </c>
      <c r="C245" s="148" t="s">
        <v>23</v>
      </c>
      <c r="D245" s="113">
        <f>D242/C242-1</f>
        <v>-0.31966648735879499</v>
      </c>
      <c r="E245" s="113">
        <f t="shared" si="22"/>
        <v>-0.16726362730679822</v>
      </c>
      <c r="F245" s="113">
        <f t="shared" si="22"/>
        <v>-1.5666614444618476E-2</v>
      </c>
    </row>
    <row r="246" spans="2:6" ht="15.75" customHeight="1" thickBot="1" x14ac:dyDescent="0.3">
      <c r="B246" s="812" t="s">
        <v>630</v>
      </c>
      <c r="C246" s="813"/>
      <c r="D246" s="813"/>
      <c r="E246" s="813"/>
      <c r="F246" s="814"/>
    </row>
    <row r="247" spans="2:6" x14ac:dyDescent="0.25">
      <c r="B247" s="810"/>
      <c r="C247" s="112">
        <v>2018</v>
      </c>
      <c r="D247" s="112">
        <v>2019</v>
      </c>
      <c r="E247" s="112">
        <v>2020</v>
      </c>
      <c r="F247" s="112">
        <v>2021</v>
      </c>
    </row>
    <row r="248" spans="2:6" ht="15.75" thickBot="1" x14ac:dyDescent="0.3">
      <c r="B248" s="811"/>
      <c r="C248" s="111" t="s">
        <v>10</v>
      </c>
      <c r="D248" s="111" t="s">
        <v>11</v>
      </c>
      <c r="E248" s="111" t="s">
        <v>11</v>
      </c>
      <c r="F248" s="111" t="s">
        <v>11</v>
      </c>
    </row>
    <row r="249" spans="2:6" ht="15.75" thickBot="1" x14ac:dyDescent="0.3">
      <c r="B249" s="100" t="s">
        <v>26</v>
      </c>
      <c r="C249" s="93">
        <v>17000</v>
      </c>
      <c r="D249" s="93">
        <v>17850</v>
      </c>
      <c r="E249" s="93">
        <v>17850</v>
      </c>
      <c r="F249" s="93">
        <v>17850</v>
      </c>
    </row>
    <row r="250" spans="2:6" ht="15.75" thickBot="1" x14ac:dyDescent="0.3">
      <c r="B250" s="100" t="s">
        <v>28</v>
      </c>
      <c r="C250" s="93">
        <v>2800</v>
      </c>
      <c r="D250" s="93">
        <v>2900</v>
      </c>
      <c r="E250" s="93">
        <v>2900</v>
      </c>
      <c r="F250" s="93">
        <v>2900</v>
      </c>
    </row>
    <row r="251" spans="2:6" ht="15.75" thickBot="1" x14ac:dyDescent="0.3">
      <c r="B251" s="100" t="s">
        <v>30</v>
      </c>
      <c r="C251" s="115">
        <v>47800</v>
      </c>
      <c r="D251" s="115">
        <v>21408</v>
      </c>
      <c r="E251" s="115">
        <v>17548</v>
      </c>
      <c r="F251" s="115">
        <v>16948</v>
      </c>
    </row>
    <row r="252" spans="2:6" ht="15.75" hidden="1" customHeight="1" thickBot="1" x14ac:dyDescent="0.3">
      <c r="B252" s="100" t="s">
        <v>32</v>
      </c>
      <c r="C252" s="98">
        <v>0</v>
      </c>
      <c r="D252" s="98">
        <v>0</v>
      </c>
      <c r="E252" s="98">
        <v>0</v>
      </c>
      <c r="F252" s="98">
        <v>0</v>
      </c>
    </row>
    <row r="253" spans="2:6" ht="24.75" hidden="1" customHeight="1" thickBot="1" x14ac:dyDescent="0.3">
      <c r="B253" s="100" t="s">
        <v>34</v>
      </c>
      <c r="C253" s="98">
        <v>0</v>
      </c>
      <c r="D253" s="98">
        <v>0</v>
      </c>
      <c r="E253" s="98">
        <v>0</v>
      </c>
      <c r="F253" s="98">
        <v>0</v>
      </c>
    </row>
    <row r="254" spans="2:6" ht="15.75" hidden="1" customHeight="1" thickBot="1" x14ac:dyDescent="0.3">
      <c r="B254" s="100" t="s">
        <v>36</v>
      </c>
      <c r="C254" s="98">
        <v>0</v>
      </c>
      <c r="D254" s="98">
        <v>0</v>
      </c>
      <c r="E254" s="98">
        <v>0</v>
      </c>
      <c r="F254" s="98">
        <v>0</v>
      </c>
    </row>
    <row r="255" spans="2:6" ht="24.75" hidden="1" customHeight="1" thickBot="1" x14ac:dyDescent="0.3">
      <c r="B255" s="100" t="s">
        <v>38</v>
      </c>
      <c r="C255" s="98">
        <v>0</v>
      </c>
      <c r="D255" s="98">
        <v>0</v>
      </c>
      <c r="E255" s="98">
        <v>0</v>
      </c>
      <c r="F255" s="98">
        <v>0</v>
      </c>
    </row>
    <row r="256" spans="2:6" ht="15.75" thickBot="1" x14ac:dyDescent="0.3">
      <c r="B256" s="119" t="s">
        <v>40</v>
      </c>
      <c r="C256" s="98">
        <f>C255+C254+C253+C252+C251+C250+C249</f>
        <v>67600</v>
      </c>
      <c r="D256" s="98">
        <f>D255+D254+D253+D252+D251+D250+D249</f>
        <v>42158</v>
      </c>
      <c r="E256" s="98">
        <f>E255+E254+E253+E252+E251+E250+E249</f>
        <v>38298</v>
      </c>
      <c r="F256" s="98">
        <f>F255+F254+F253+F252+F251+F250+F249</f>
        <v>37698</v>
      </c>
    </row>
    <row r="257" spans="2:6" ht="15.75" thickBot="1" x14ac:dyDescent="0.3">
      <c r="B257" s="96" t="s">
        <v>41</v>
      </c>
      <c r="C257" s="95">
        <f>IF(C256-C241=0,0,"Error")</f>
        <v>0</v>
      </c>
      <c r="D257" s="95">
        <f>IF(D256-D241=0,0,"Error")</f>
        <v>0</v>
      </c>
      <c r="E257" s="95">
        <f>IF(E256-E241=0,0,"Error")</f>
        <v>0</v>
      </c>
      <c r="F257" s="95">
        <f>IF(F256-F241=0,0,"Error")</f>
        <v>0</v>
      </c>
    </row>
    <row r="258" spans="2:6" ht="15.75" thickBot="1" x14ac:dyDescent="0.3">
      <c r="B258" s="122" t="s">
        <v>42</v>
      </c>
      <c r="C258" s="833" t="s">
        <v>603</v>
      </c>
      <c r="D258" s="834"/>
      <c r="E258" s="834"/>
      <c r="F258" s="835"/>
    </row>
    <row r="259" spans="2:6" ht="43.15" customHeight="1" thickBot="1" x14ac:dyDescent="0.3">
      <c r="B259" s="114" t="s">
        <v>17</v>
      </c>
      <c r="C259" s="848" t="s">
        <v>604</v>
      </c>
      <c r="D259" s="849"/>
      <c r="E259" s="849"/>
      <c r="F259" s="850"/>
    </row>
    <row r="260" spans="2:6" ht="15.75" thickBot="1" x14ac:dyDescent="0.3">
      <c r="B260" s="114" t="s">
        <v>18</v>
      </c>
      <c r="C260" s="807" t="s">
        <v>583</v>
      </c>
      <c r="D260" s="808"/>
      <c r="E260" s="808"/>
      <c r="F260" s="809"/>
    </row>
    <row r="261" spans="2:6" ht="15.75" thickBot="1" x14ac:dyDescent="0.3">
      <c r="B261" s="114" t="s">
        <v>19</v>
      </c>
      <c r="C261" s="115">
        <v>10</v>
      </c>
      <c r="D261" s="115">
        <v>10</v>
      </c>
      <c r="E261" s="115">
        <v>10</v>
      </c>
      <c r="F261" s="115">
        <v>10</v>
      </c>
    </row>
    <row r="262" spans="2:6" x14ac:dyDescent="0.25">
      <c r="B262" s="810"/>
      <c r="C262" s="112">
        <v>2018</v>
      </c>
      <c r="D262" s="112">
        <v>2019</v>
      </c>
      <c r="E262" s="112">
        <v>2020</v>
      </c>
      <c r="F262" s="112">
        <v>2021</v>
      </c>
    </row>
    <row r="263" spans="2:6" ht="15.75" thickBot="1" x14ac:dyDescent="0.3">
      <c r="B263" s="811"/>
      <c r="C263" s="111" t="s">
        <v>10</v>
      </c>
      <c r="D263" s="111" t="s">
        <v>11</v>
      </c>
      <c r="E263" s="111" t="s">
        <v>11</v>
      </c>
      <c r="F263" s="111" t="s">
        <v>11</v>
      </c>
    </row>
    <row r="264" spans="2:6" ht="15.75" thickBot="1" x14ac:dyDescent="0.3">
      <c r="B264" s="114" t="s">
        <v>20</v>
      </c>
      <c r="C264" s="115">
        <v>41861</v>
      </c>
      <c r="D264" s="115">
        <v>46000</v>
      </c>
      <c r="E264" s="115">
        <v>44204</v>
      </c>
      <c r="F264" s="115">
        <v>44968</v>
      </c>
    </row>
    <row r="265" spans="2:6" ht="15.75" thickBot="1" x14ac:dyDescent="0.3">
      <c r="B265" s="114" t="s">
        <v>21</v>
      </c>
      <c r="C265" s="115">
        <f>C264/C261</f>
        <v>4186.1000000000004</v>
      </c>
      <c r="D265" s="115">
        <f>D264/D261</f>
        <v>4600</v>
      </c>
      <c r="E265" s="115">
        <f>E264/E261</f>
        <v>4420.3999999999996</v>
      </c>
      <c r="F265" s="115">
        <f>F264/F261</f>
        <v>4496.8</v>
      </c>
    </row>
    <row r="266" spans="2:6" ht="15.75" thickBot="1" x14ac:dyDescent="0.3">
      <c r="B266" s="114" t="s">
        <v>22</v>
      </c>
      <c r="C266" s="148"/>
      <c r="D266" s="113">
        <f>D261/C261-1</f>
        <v>0</v>
      </c>
      <c r="E266" s="113">
        <f>E261/D261-1</f>
        <v>0</v>
      </c>
      <c r="F266" s="113">
        <f>F261/E261-1</f>
        <v>0</v>
      </c>
    </row>
    <row r="267" spans="2:6" ht="15.75" thickBot="1" x14ac:dyDescent="0.3">
      <c r="B267" s="114" t="s">
        <v>24</v>
      </c>
      <c r="C267" s="148"/>
      <c r="D267" s="113">
        <f>D264/C264-1</f>
        <v>9.8874847710279212E-2</v>
      </c>
      <c r="E267" s="113">
        <f t="shared" ref="E267:F268" si="23">E264/D264-1</f>
        <v>-3.9043478260869513E-2</v>
      </c>
      <c r="F267" s="113">
        <f t="shared" si="23"/>
        <v>1.7283503755316287E-2</v>
      </c>
    </row>
    <row r="268" spans="2:6" ht="15.75" thickBot="1" x14ac:dyDescent="0.3">
      <c r="B268" s="114" t="s">
        <v>25</v>
      </c>
      <c r="C268" s="148"/>
      <c r="D268" s="113">
        <f>D265/C265-1</f>
        <v>9.8874847710279212E-2</v>
      </c>
      <c r="E268" s="113">
        <f t="shared" si="23"/>
        <v>-3.9043478260869624E-2</v>
      </c>
      <c r="F268" s="113">
        <f t="shared" si="23"/>
        <v>1.7283503755316287E-2</v>
      </c>
    </row>
    <row r="269" spans="2:6" ht="15.75" customHeight="1" thickBot="1" x14ac:dyDescent="0.3">
      <c r="B269" s="812" t="s">
        <v>825</v>
      </c>
      <c r="C269" s="813"/>
      <c r="D269" s="813"/>
      <c r="E269" s="813"/>
      <c r="F269" s="814"/>
    </row>
    <row r="270" spans="2:6" x14ac:dyDescent="0.25">
      <c r="B270" s="810"/>
      <c r="C270" s="112">
        <v>2018</v>
      </c>
      <c r="D270" s="112">
        <v>2019</v>
      </c>
      <c r="E270" s="112">
        <v>2020</v>
      </c>
      <c r="F270" s="112">
        <v>2021</v>
      </c>
    </row>
    <row r="271" spans="2:6" ht="15.75" thickBot="1" x14ac:dyDescent="0.3">
      <c r="B271" s="811"/>
      <c r="C271" s="111" t="s">
        <v>10</v>
      </c>
      <c r="D271" s="111" t="s">
        <v>11</v>
      </c>
      <c r="E271" s="111" t="s">
        <v>11</v>
      </c>
      <c r="F271" s="111" t="s">
        <v>11</v>
      </c>
    </row>
    <row r="272" spans="2:6" ht="15.75" thickBot="1" x14ac:dyDescent="0.3">
      <c r="B272" s="100" t="s">
        <v>26</v>
      </c>
      <c r="C272" s="93">
        <v>19000</v>
      </c>
      <c r="D272" s="93">
        <v>19800</v>
      </c>
      <c r="E272" s="93">
        <v>19800</v>
      </c>
      <c r="F272" s="93">
        <v>19800</v>
      </c>
    </row>
    <row r="273" spans="2:6" ht="15.75" thickBot="1" x14ac:dyDescent="0.3">
      <c r="B273" s="100" t="s">
        <v>28</v>
      </c>
      <c r="C273" s="93">
        <v>3200</v>
      </c>
      <c r="D273" s="93">
        <v>3200</v>
      </c>
      <c r="E273" s="93">
        <v>3200</v>
      </c>
      <c r="F273" s="93">
        <v>3200</v>
      </c>
    </row>
    <row r="274" spans="2:6" ht="15.75" thickBot="1" x14ac:dyDescent="0.3">
      <c r="B274" s="100" t="s">
        <v>30</v>
      </c>
      <c r="C274" s="98">
        <v>19661</v>
      </c>
      <c r="D274" s="93">
        <v>23000</v>
      </c>
      <c r="E274" s="93">
        <v>21204</v>
      </c>
      <c r="F274" s="93">
        <v>21968</v>
      </c>
    </row>
    <row r="275" spans="2:6" ht="15.75" hidden="1" customHeight="1" thickBot="1" x14ac:dyDescent="0.3">
      <c r="B275" s="100" t="s">
        <v>32</v>
      </c>
      <c r="C275" s="98"/>
      <c r="D275" s="93"/>
      <c r="E275" s="93"/>
      <c r="F275" s="93"/>
    </row>
    <row r="276" spans="2:6" ht="24.75" hidden="1" customHeight="1" thickBot="1" x14ac:dyDescent="0.3">
      <c r="B276" s="100" t="s">
        <v>34</v>
      </c>
      <c r="C276" s="98"/>
      <c r="D276" s="93"/>
      <c r="E276" s="93"/>
      <c r="F276" s="93"/>
    </row>
    <row r="277" spans="2:6" ht="15.75" hidden="1" customHeight="1" thickBot="1" x14ac:dyDescent="0.3">
      <c r="B277" s="100" t="s">
        <v>36</v>
      </c>
      <c r="C277" s="98"/>
      <c r="D277" s="93"/>
      <c r="E277" s="93"/>
      <c r="F277" s="93"/>
    </row>
    <row r="278" spans="2:6" ht="24.75" hidden="1" customHeight="1" thickBot="1" x14ac:dyDescent="0.3">
      <c r="B278" s="100" t="s">
        <v>38</v>
      </c>
      <c r="C278" s="98"/>
      <c r="D278" s="93"/>
      <c r="E278" s="93"/>
      <c r="F278" s="93"/>
    </row>
    <row r="279" spans="2:6" ht="15.75" thickBot="1" x14ac:dyDescent="0.3">
      <c r="B279" s="347" t="s">
        <v>43</v>
      </c>
      <c r="C279" s="98">
        <f>C278+C277+C276+C275+C274+C273+C272</f>
        <v>41861</v>
      </c>
      <c r="D279" s="98">
        <f>D278+D277+D276+D275+D274+D273+D272</f>
        <v>46000</v>
      </c>
      <c r="E279" s="98">
        <f>E278+E277+E276+E275+E274+E273+E272</f>
        <v>44204</v>
      </c>
      <c r="F279" s="98">
        <f>F278+F277+F276+F275+F274+F273+F272</f>
        <v>44968</v>
      </c>
    </row>
    <row r="280" spans="2:6" ht="15.75" thickBot="1" x14ac:dyDescent="0.3">
      <c r="B280" s="96" t="s">
        <v>41</v>
      </c>
      <c r="C280" s="95">
        <f>IF(C279-C264=0,0,"Error")</f>
        <v>0</v>
      </c>
      <c r="D280" s="95">
        <f>IF(D279-D264=0,0,"Error")</f>
        <v>0</v>
      </c>
      <c r="E280" s="95">
        <f>IF(E279-E264=0,0,"Error")</f>
        <v>0</v>
      </c>
      <c r="F280" s="95">
        <f>IF(F279-F264=0,0,"Error")</f>
        <v>0</v>
      </c>
    </row>
    <row r="281" spans="2:6" ht="15.75" thickBot="1" x14ac:dyDescent="0.3">
      <c r="B281" s="349"/>
      <c r="C281" s="350"/>
      <c r="D281" s="350"/>
      <c r="E281" s="350"/>
      <c r="F281" s="351"/>
    </row>
    <row r="282" spans="2:6" ht="15.75" thickBot="1" x14ac:dyDescent="0.3">
      <c r="B282" s="833" t="s">
        <v>63</v>
      </c>
      <c r="C282" s="834"/>
      <c r="D282" s="834"/>
      <c r="E282" s="834"/>
      <c r="F282" s="835"/>
    </row>
    <row r="283" spans="2:6" ht="15.75" thickBot="1" x14ac:dyDescent="0.3">
      <c r="B283" s="833" t="s">
        <v>56</v>
      </c>
      <c r="C283" s="834"/>
      <c r="D283" s="834"/>
      <c r="E283" s="834"/>
      <c r="F283" s="835"/>
    </row>
    <row r="284" spans="2:6" ht="15.75" thickBot="1" x14ac:dyDescent="0.3">
      <c r="B284" s="120" t="s">
        <v>79</v>
      </c>
      <c r="C284" s="842"/>
      <c r="D284" s="843"/>
      <c r="E284" s="843"/>
      <c r="F284" s="844"/>
    </row>
    <row r="285" spans="2:6" ht="15.75" thickBot="1" x14ac:dyDescent="0.3">
      <c r="B285" s="116" t="s">
        <v>16</v>
      </c>
      <c r="C285" s="833" t="s">
        <v>601</v>
      </c>
      <c r="D285" s="834"/>
      <c r="E285" s="834"/>
      <c r="F285" s="835"/>
    </row>
    <row r="286" spans="2:6" ht="15.75" thickBot="1" x14ac:dyDescent="0.3">
      <c r="B286" s="114" t="s">
        <v>17</v>
      </c>
      <c r="C286" s="848"/>
      <c r="D286" s="849"/>
      <c r="E286" s="849"/>
      <c r="F286" s="850"/>
    </row>
    <row r="287" spans="2:6" ht="15.75" thickBot="1" x14ac:dyDescent="0.3">
      <c r="B287" s="114" t="s">
        <v>18</v>
      </c>
      <c r="C287" s="807" t="s">
        <v>605</v>
      </c>
      <c r="D287" s="808"/>
      <c r="E287" s="808"/>
      <c r="F287" s="809"/>
    </row>
    <row r="288" spans="2:6" x14ac:dyDescent="0.25">
      <c r="B288" s="810"/>
      <c r="C288" s="112">
        <v>2018</v>
      </c>
      <c r="D288" s="112">
        <v>2019</v>
      </c>
      <c r="E288" s="112">
        <v>2020</v>
      </c>
      <c r="F288" s="112">
        <v>2021</v>
      </c>
    </row>
    <row r="289" spans="2:6" ht="15.75" thickBot="1" x14ac:dyDescent="0.3">
      <c r="B289" s="811"/>
      <c r="C289" s="111" t="s">
        <v>10</v>
      </c>
      <c r="D289" s="111" t="s">
        <v>11</v>
      </c>
      <c r="E289" s="111" t="s">
        <v>11</v>
      </c>
      <c r="F289" s="111" t="s">
        <v>11</v>
      </c>
    </row>
    <row r="290" spans="2:6" ht="15.75" thickBot="1" x14ac:dyDescent="0.3">
      <c r="B290" s="114" t="s">
        <v>19</v>
      </c>
      <c r="C290" s="115">
        <v>6</v>
      </c>
      <c r="D290" s="115"/>
      <c r="E290" s="115">
        <v>0</v>
      </c>
      <c r="F290" s="115">
        <v>0</v>
      </c>
    </row>
    <row r="291" spans="2:6" ht="15.75" thickBot="1" x14ac:dyDescent="0.3">
      <c r="B291" s="114" t="s">
        <v>20</v>
      </c>
      <c r="C291" s="115">
        <v>30734</v>
      </c>
      <c r="D291" s="115">
        <v>0</v>
      </c>
      <c r="E291" s="115">
        <f>E301</f>
        <v>29000</v>
      </c>
      <c r="F291" s="115">
        <f>F301</f>
        <v>20000</v>
      </c>
    </row>
    <row r="292" spans="2:6" ht="15.75" thickBot="1" x14ac:dyDescent="0.3">
      <c r="B292" s="114" t="s">
        <v>21</v>
      </c>
      <c r="C292" s="115">
        <f>C291/C290</f>
        <v>5122.333333333333</v>
      </c>
      <c r="D292" s="115" t="e">
        <f t="shared" ref="D292:F292" si="24">D291/D290</f>
        <v>#DIV/0!</v>
      </c>
      <c r="E292" s="115" t="e">
        <f t="shared" si="24"/>
        <v>#DIV/0!</v>
      </c>
      <c r="F292" s="115" t="e">
        <f t="shared" si="24"/>
        <v>#DIV/0!</v>
      </c>
    </row>
    <row r="293" spans="2:6" ht="15.75" thickBot="1" x14ac:dyDescent="0.3">
      <c r="B293" s="114" t="s">
        <v>22</v>
      </c>
      <c r="C293" s="148" t="s">
        <v>23</v>
      </c>
      <c r="D293" s="113">
        <f>D290/C290-1</f>
        <v>-1</v>
      </c>
      <c r="E293" s="113" t="e">
        <f t="shared" ref="E293:F295" si="25">E290/D290-1</f>
        <v>#DIV/0!</v>
      </c>
      <c r="F293" s="113" t="e">
        <f t="shared" si="25"/>
        <v>#DIV/0!</v>
      </c>
    </row>
    <row r="294" spans="2:6" ht="15.75" thickBot="1" x14ac:dyDescent="0.3">
      <c r="B294" s="114" t="s">
        <v>24</v>
      </c>
      <c r="C294" s="148" t="s">
        <v>23</v>
      </c>
      <c r="D294" s="113">
        <f>D291/C291-1</f>
        <v>-1</v>
      </c>
      <c r="E294" s="113" t="e">
        <f t="shared" si="25"/>
        <v>#DIV/0!</v>
      </c>
      <c r="F294" s="113">
        <f t="shared" si="25"/>
        <v>-0.31034482758620685</v>
      </c>
    </row>
    <row r="295" spans="2:6" ht="15.75" thickBot="1" x14ac:dyDescent="0.3">
      <c r="B295" s="114" t="s">
        <v>25</v>
      </c>
      <c r="C295" s="148" t="s">
        <v>23</v>
      </c>
      <c r="D295" s="113" t="e">
        <f>D292/C292-1</f>
        <v>#DIV/0!</v>
      </c>
      <c r="E295" s="113" t="e">
        <f t="shared" si="25"/>
        <v>#DIV/0!</v>
      </c>
      <c r="F295" s="113" t="e">
        <f t="shared" si="25"/>
        <v>#DIV/0!</v>
      </c>
    </row>
    <row r="296" spans="2:6" ht="15.75" thickBot="1" x14ac:dyDescent="0.3">
      <c r="B296" s="812" t="s">
        <v>630</v>
      </c>
      <c r="C296" s="813"/>
      <c r="D296" s="813"/>
      <c r="E296" s="813"/>
      <c r="F296" s="814"/>
    </row>
    <row r="297" spans="2:6" x14ac:dyDescent="0.25">
      <c r="B297" s="810"/>
      <c r="C297" s="112">
        <v>2018</v>
      </c>
      <c r="D297" s="112">
        <v>2019</v>
      </c>
      <c r="E297" s="112">
        <v>2020</v>
      </c>
      <c r="F297" s="112">
        <v>2021</v>
      </c>
    </row>
    <row r="298" spans="2:6" ht="15.75" thickBot="1" x14ac:dyDescent="0.3">
      <c r="B298" s="811"/>
      <c r="C298" s="111" t="s">
        <v>10</v>
      </c>
      <c r="D298" s="111" t="s">
        <v>11</v>
      </c>
      <c r="E298" s="111" t="s">
        <v>11</v>
      </c>
      <c r="F298" s="111" t="s">
        <v>11</v>
      </c>
    </row>
    <row r="299" spans="2:6" ht="15.75" thickBot="1" x14ac:dyDescent="0.3">
      <c r="B299" s="100" t="s">
        <v>58</v>
      </c>
      <c r="C299" s="93">
        <v>408</v>
      </c>
      <c r="D299" s="93">
        <v>0</v>
      </c>
      <c r="E299" s="93">
        <v>0</v>
      </c>
      <c r="F299" s="93">
        <v>0</v>
      </c>
    </row>
    <row r="300" spans="2:6" ht="15.75" thickBot="1" x14ac:dyDescent="0.3">
      <c r="B300" s="100" t="s">
        <v>59</v>
      </c>
      <c r="C300" s="98">
        <f>30374-408+360</f>
        <v>30326</v>
      </c>
      <c r="D300" s="93">
        <v>0</v>
      </c>
      <c r="E300" s="93">
        <v>29000</v>
      </c>
      <c r="F300" s="93">
        <v>20000</v>
      </c>
    </row>
    <row r="301" spans="2:6" ht="15.75" thickBot="1" x14ac:dyDescent="0.3">
      <c r="B301" s="119" t="s">
        <v>40</v>
      </c>
      <c r="C301" s="98">
        <f>C300+C299</f>
        <v>30734</v>
      </c>
      <c r="D301" s="98">
        <f t="shared" ref="D301:F301" si="26">D300+D299</f>
        <v>0</v>
      </c>
      <c r="E301" s="98">
        <f t="shared" si="26"/>
        <v>29000</v>
      </c>
      <c r="F301" s="98">
        <f t="shared" si="26"/>
        <v>20000</v>
      </c>
    </row>
    <row r="302" spans="2:6" x14ac:dyDescent="0.25">
      <c r="B302" s="815" t="s">
        <v>60</v>
      </c>
      <c r="C302" s="839"/>
      <c r="D302" s="817"/>
      <c r="E302" s="817"/>
      <c r="F302" s="818"/>
    </row>
    <row r="303" spans="2:6" x14ac:dyDescent="0.25">
      <c r="B303" s="816"/>
      <c r="C303" s="840"/>
      <c r="D303" s="819"/>
      <c r="E303" s="819"/>
      <c r="F303" s="820"/>
    </row>
    <row r="304" spans="2:6" ht="15.75" thickBot="1" x14ac:dyDescent="0.3">
      <c r="B304" s="821"/>
      <c r="C304" s="841"/>
      <c r="D304" s="822"/>
      <c r="E304" s="822"/>
      <c r="F304" s="823"/>
    </row>
    <row r="305" spans="2:6" ht="15.75" thickBot="1" x14ac:dyDescent="0.3">
      <c r="B305" s="120" t="s">
        <v>61</v>
      </c>
      <c r="C305" s="842"/>
      <c r="D305" s="843"/>
      <c r="E305" s="843"/>
      <c r="F305" s="844"/>
    </row>
    <row r="306" spans="2:6" ht="15.75" thickBot="1" x14ac:dyDescent="0.3">
      <c r="B306" s="116" t="s">
        <v>42</v>
      </c>
      <c r="C306" s="833" t="s">
        <v>603</v>
      </c>
      <c r="D306" s="834"/>
      <c r="E306" s="834"/>
      <c r="F306" s="835"/>
    </row>
    <row r="307" spans="2:6" ht="15.75" thickBot="1" x14ac:dyDescent="0.3">
      <c r="B307" s="114" t="s">
        <v>17</v>
      </c>
      <c r="C307" s="848"/>
      <c r="D307" s="849"/>
      <c r="E307" s="849"/>
      <c r="F307" s="850"/>
    </row>
    <row r="308" spans="2:6" ht="15.75" thickBot="1" x14ac:dyDescent="0.3">
      <c r="B308" s="114" t="s">
        <v>18</v>
      </c>
      <c r="C308" s="807" t="s">
        <v>606</v>
      </c>
      <c r="D308" s="808"/>
      <c r="E308" s="808"/>
      <c r="F308" s="809"/>
    </row>
    <row r="309" spans="2:6" x14ac:dyDescent="0.25">
      <c r="B309" s="810"/>
      <c r="C309" s="112">
        <v>2018</v>
      </c>
      <c r="D309" s="112">
        <v>2019</v>
      </c>
      <c r="E309" s="112">
        <v>2020</v>
      </c>
      <c r="F309" s="112">
        <v>2021</v>
      </c>
    </row>
    <row r="310" spans="2:6" ht="15.75" thickBot="1" x14ac:dyDescent="0.3">
      <c r="B310" s="811"/>
      <c r="C310" s="111" t="s">
        <v>10</v>
      </c>
      <c r="D310" s="111" t="s">
        <v>11</v>
      </c>
      <c r="E310" s="111" t="s">
        <v>11</v>
      </c>
      <c r="F310" s="111" t="s">
        <v>11</v>
      </c>
    </row>
    <row r="311" spans="2:6" ht="15.75" thickBot="1" x14ac:dyDescent="0.3">
      <c r="B311" s="114" t="s">
        <v>19</v>
      </c>
      <c r="C311" s="115">
        <v>4</v>
      </c>
      <c r="D311" s="115">
        <v>0</v>
      </c>
      <c r="E311" s="115">
        <v>1</v>
      </c>
      <c r="F311" s="115">
        <v>3</v>
      </c>
    </row>
    <row r="312" spans="2:6" ht="15.75" thickBot="1" x14ac:dyDescent="0.3">
      <c r="B312" s="114" t="s">
        <v>20</v>
      </c>
      <c r="C312" s="115">
        <v>35500</v>
      </c>
      <c r="D312" s="115">
        <v>0</v>
      </c>
      <c r="E312" s="115">
        <v>16000</v>
      </c>
      <c r="F312" s="115">
        <v>15000</v>
      </c>
    </row>
    <row r="313" spans="2:6" ht="15.75" thickBot="1" x14ac:dyDescent="0.3">
      <c r="B313" s="114" t="s">
        <v>21</v>
      </c>
      <c r="C313" s="115">
        <f>C312/C311</f>
        <v>8875</v>
      </c>
      <c r="D313" s="115" t="e">
        <f t="shared" ref="D313:F313" si="27">D312/D311</f>
        <v>#DIV/0!</v>
      </c>
      <c r="E313" s="115">
        <f t="shared" si="27"/>
        <v>16000</v>
      </c>
      <c r="F313" s="115">
        <f t="shared" si="27"/>
        <v>5000</v>
      </c>
    </row>
    <row r="314" spans="2:6" ht="15.75" thickBot="1" x14ac:dyDescent="0.3">
      <c r="B314" s="114" t="s">
        <v>22</v>
      </c>
      <c r="C314" s="148" t="s">
        <v>23</v>
      </c>
      <c r="D314" s="113">
        <f>D311/C311-1</f>
        <v>-1</v>
      </c>
      <c r="E314" s="113" t="e">
        <f t="shared" ref="E314:F316" si="28">E311/D311-1</f>
        <v>#DIV/0!</v>
      </c>
      <c r="F314" s="113">
        <f t="shared" si="28"/>
        <v>2</v>
      </c>
    </row>
    <row r="315" spans="2:6" ht="15.75" thickBot="1" x14ac:dyDescent="0.3">
      <c r="B315" s="114" t="s">
        <v>24</v>
      </c>
      <c r="C315" s="148" t="s">
        <v>23</v>
      </c>
      <c r="D315" s="113">
        <f>D312/C312-1</f>
        <v>-1</v>
      </c>
      <c r="E315" s="113" t="e">
        <f t="shared" si="28"/>
        <v>#DIV/0!</v>
      </c>
      <c r="F315" s="113">
        <f t="shared" si="28"/>
        <v>-6.25E-2</v>
      </c>
    </row>
    <row r="316" spans="2:6" ht="15.75" thickBot="1" x14ac:dyDescent="0.3">
      <c r="B316" s="114" t="s">
        <v>25</v>
      </c>
      <c r="C316" s="148" t="s">
        <v>23</v>
      </c>
      <c r="D316" s="113" t="e">
        <f>D313/C313-1</f>
        <v>#DIV/0!</v>
      </c>
      <c r="E316" s="113" t="e">
        <f t="shared" si="28"/>
        <v>#DIV/0!</v>
      </c>
      <c r="F316" s="113">
        <f t="shared" si="28"/>
        <v>-0.6875</v>
      </c>
    </row>
    <row r="317" spans="2:6" ht="15.75" thickBot="1" x14ac:dyDescent="0.3">
      <c r="B317" s="812" t="s">
        <v>827</v>
      </c>
      <c r="C317" s="813"/>
      <c r="D317" s="813"/>
      <c r="E317" s="813"/>
      <c r="F317" s="814"/>
    </row>
    <row r="318" spans="2:6" x14ac:dyDescent="0.25">
      <c r="B318" s="810"/>
      <c r="C318" s="112">
        <v>2018</v>
      </c>
      <c r="D318" s="112">
        <v>2019</v>
      </c>
      <c r="E318" s="112">
        <v>2020</v>
      </c>
      <c r="F318" s="112">
        <v>2021</v>
      </c>
    </row>
    <row r="319" spans="2:6" ht="15.75" thickBot="1" x14ac:dyDescent="0.3">
      <c r="B319" s="811"/>
      <c r="C319" s="111" t="s">
        <v>10</v>
      </c>
      <c r="D319" s="111" t="s">
        <v>11</v>
      </c>
      <c r="E319" s="111" t="s">
        <v>11</v>
      </c>
      <c r="F319" s="111" t="s">
        <v>11</v>
      </c>
    </row>
    <row r="320" spans="2:6" ht="15.75" thickBot="1" x14ac:dyDescent="0.3">
      <c r="B320" s="100" t="s">
        <v>58</v>
      </c>
      <c r="C320" s="93">
        <v>0</v>
      </c>
      <c r="D320" s="93">
        <v>0</v>
      </c>
      <c r="E320" s="93">
        <v>0</v>
      </c>
      <c r="F320" s="93">
        <v>0</v>
      </c>
    </row>
    <row r="321" spans="2:6" ht="15.75" thickBot="1" x14ac:dyDescent="0.3">
      <c r="B321" s="100" t="s">
        <v>59</v>
      </c>
      <c r="C321" s="115">
        <v>35500</v>
      </c>
      <c r="D321" s="93"/>
      <c r="E321" s="93">
        <v>16000</v>
      </c>
      <c r="F321" s="93">
        <v>15000</v>
      </c>
    </row>
    <row r="322" spans="2:6" ht="44.25" customHeight="1" thickBot="1" x14ac:dyDescent="0.3">
      <c r="B322" s="362" t="s">
        <v>74</v>
      </c>
      <c r="C322" s="115">
        <f>C321+C320</f>
        <v>35500</v>
      </c>
      <c r="D322" s="93">
        <f t="shared" ref="D322:F322" si="29">D321+D320</f>
        <v>0</v>
      </c>
      <c r="E322" s="93">
        <f t="shared" si="29"/>
        <v>16000</v>
      </c>
      <c r="F322" s="93">
        <f t="shared" si="29"/>
        <v>15000</v>
      </c>
    </row>
    <row r="323" spans="2:6" ht="15.75" thickBot="1" x14ac:dyDescent="0.3">
      <c r="B323" s="357"/>
      <c r="C323" s="358"/>
      <c r="D323" s="358"/>
      <c r="E323" s="358"/>
      <c r="F323" s="359"/>
    </row>
    <row r="324" spans="2:6" ht="15.75" thickBot="1" x14ac:dyDescent="0.3">
      <c r="B324" s="357"/>
      <c r="C324" s="885"/>
      <c r="D324" s="886"/>
      <c r="E324" s="886"/>
      <c r="F324" s="887"/>
    </row>
    <row r="325" spans="2:6" ht="15.75" thickBot="1" x14ac:dyDescent="0.3">
      <c r="B325" s="363" t="s">
        <v>78</v>
      </c>
      <c r="C325" s="888" t="s">
        <v>607</v>
      </c>
      <c r="D325" s="889"/>
      <c r="E325" s="889"/>
      <c r="F325" s="890"/>
    </row>
    <row r="326" spans="2:6" ht="15.75" thickBot="1" x14ac:dyDescent="0.3">
      <c r="B326" s="891" t="s">
        <v>608</v>
      </c>
      <c r="C326" s="892"/>
      <c r="D326" s="892"/>
      <c r="E326" s="892"/>
      <c r="F326" s="893"/>
    </row>
    <row r="327" spans="2:6" ht="15.75" thickBot="1" x14ac:dyDescent="0.3">
      <c r="B327" s="149" t="s">
        <v>609</v>
      </c>
      <c r="C327" s="117" t="s">
        <v>116</v>
      </c>
      <c r="D327" s="117" t="s">
        <v>117</v>
      </c>
      <c r="E327" s="117" t="s">
        <v>117</v>
      </c>
      <c r="F327" s="117" t="s">
        <v>117</v>
      </c>
    </row>
    <row r="328" spans="2:6" ht="15.75" thickBot="1" x14ac:dyDescent="0.3">
      <c r="B328" s="833" t="s">
        <v>346</v>
      </c>
      <c r="C328" s="834"/>
      <c r="D328" s="834"/>
      <c r="E328" s="834"/>
      <c r="F328" s="835"/>
    </row>
    <row r="329" spans="2:6" ht="15.75" thickBot="1" x14ac:dyDescent="0.3">
      <c r="B329" s="833" t="s">
        <v>104</v>
      </c>
      <c r="C329" s="834"/>
      <c r="D329" s="834"/>
      <c r="E329" s="834"/>
      <c r="F329" s="835"/>
    </row>
    <row r="330" spans="2:6" ht="18.600000000000001" customHeight="1" thickBot="1" x14ac:dyDescent="0.3">
      <c r="B330" s="116" t="s">
        <v>105</v>
      </c>
      <c r="C330" s="833" t="s">
        <v>610</v>
      </c>
      <c r="D330" s="834"/>
      <c r="E330" s="834"/>
      <c r="F330" s="835"/>
    </row>
    <row r="331" spans="2:6" ht="57" customHeight="1" thickBot="1" x14ac:dyDescent="0.3">
      <c r="B331" s="114" t="s">
        <v>17</v>
      </c>
      <c r="C331" s="848" t="s">
        <v>611</v>
      </c>
      <c r="D331" s="849"/>
      <c r="E331" s="849"/>
      <c r="F331" s="850"/>
    </row>
    <row r="332" spans="2:6" ht="15.75" thickBot="1" x14ac:dyDescent="0.3">
      <c r="B332" s="114" t="s">
        <v>18</v>
      </c>
      <c r="C332" s="882" t="s">
        <v>583</v>
      </c>
      <c r="D332" s="883"/>
      <c r="E332" s="883"/>
      <c r="F332" s="884"/>
    </row>
    <row r="333" spans="2:6" x14ac:dyDescent="0.25">
      <c r="B333" s="810"/>
      <c r="C333" s="112">
        <v>2018</v>
      </c>
      <c r="D333" s="112">
        <v>2019</v>
      </c>
      <c r="E333" s="112">
        <v>2020</v>
      </c>
      <c r="F333" s="112">
        <v>2021</v>
      </c>
    </row>
    <row r="334" spans="2:6" ht="15.75" thickBot="1" x14ac:dyDescent="0.3">
      <c r="B334" s="811"/>
      <c r="C334" s="111" t="s">
        <v>10</v>
      </c>
      <c r="D334" s="111" t="s">
        <v>11</v>
      </c>
      <c r="E334" s="111" t="s">
        <v>11</v>
      </c>
      <c r="F334" s="111" t="s">
        <v>11</v>
      </c>
    </row>
    <row r="335" spans="2:6" ht="15.75" thickBot="1" x14ac:dyDescent="0.3">
      <c r="B335" s="114" t="s">
        <v>19</v>
      </c>
      <c r="C335" s="115">
        <v>8</v>
      </c>
      <c r="D335" s="115">
        <v>8</v>
      </c>
      <c r="E335" s="115">
        <v>8</v>
      </c>
      <c r="F335" s="115">
        <v>8</v>
      </c>
    </row>
    <row r="336" spans="2:6" ht="15.75" thickBot="1" x14ac:dyDescent="0.3">
      <c r="B336" s="114" t="s">
        <v>20</v>
      </c>
      <c r="C336" s="115">
        <f>C351</f>
        <v>131953</v>
      </c>
      <c r="D336" s="115">
        <f t="shared" ref="D336:F336" si="30">D351</f>
        <v>152100</v>
      </c>
      <c r="E336" s="115">
        <f t="shared" si="30"/>
        <v>184142</v>
      </c>
      <c r="F336" s="115">
        <f t="shared" si="30"/>
        <v>192178</v>
      </c>
    </row>
    <row r="337" spans="2:6" ht="15.75" thickBot="1" x14ac:dyDescent="0.3">
      <c r="B337" s="114" t="s">
        <v>21</v>
      </c>
      <c r="C337" s="115"/>
      <c r="D337" s="115"/>
      <c r="E337" s="115"/>
      <c r="F337" s="115"/>
    </row>
    <row r="338" spans="2:6" ht="15.75" thickBot="1" x14ac:dyDescent="0.3">
      <c r="B338" s="114" t="s">
        <v>22</v>
      </c>
      <c r="C338" s="148" t="s">
        <v>23</v>
      </c>
      <c r="D338" s="113">
        <f>D335/C335-1</f>
        <v>0</v>
      </c>
      <c r="E338" s="113">
        <f t="shared" ref="E338:F340" si="31">E335/D335-1</f>
        <v>0</v>
      </c>
      <c r="F338" s="113">
        <f t="shared" si="31"/>
        <v>0</v>
      </c>
    </row>
    <row r="339" spans="2:6" ht="15.75" thickBot="1" x14ac:dyDescent="0.3">
      <c r="B339" s="114" t="s">
        <v>24</v>
      </c>
      <c r="C339" s="148" t="s">
        <v>23</v>
      </c>
      <c r="D339" s="113">
        <f>D336/C336-1</f>
        <v>0.15268315233454333</v>
      </c>
      <c r="E339" s="113">
        <f t="shared" si="31"/>
        <v>0.21066403681788293</v>
      </c>
      <c r="F339" s="113">
        <f t="shared" si="31"/>
        <v>4.364023416711027E-2</v>
      </c>
    </row>
    <row r="340" spans="2:6" ht="15.75" thickBot="1" x14ac:dyDescent="0.3">
      <c r="B340" s="114" t="s">
        <v>25</v>
      </c>
      <c r="C340" s="148" t="s">
        <v>23</v>
      </c>
      <c r="D340" s="113" t="e">
        <f>D337/C337-1</f>
        <v>#DIV/0!</v>
      </c>
      <c r="E340" s="113" t="e">
        <f t="shared" si="31"/>
        <v>#DIV/0!</v>
      </c>
      <c r="F340" s="113" t="e">
        <f t="shared" si="31"/>
        <v>#DIV/0!</v>
      </c>
    </row>
    <row r="341" spans="2:6" ht="15.75" customHeight="1" thickBot="1" x14ac:dyDescent="0.3">
      <c r="B341" s="812" t="s">
        <v>630</v>
      </c>
      <c r="C341" s="813"/>
      <c r="D341" s="813"/>
      <c r="E341" s="813"/>
      <c r="F341" s="814"/>
    </row>
    <row r="342" spans="2:6" x14ac:dyDescent="0.25">
      <c r="B342" s="810"/>
      <c r="C342" s="112">
        <v>2018</v>
      </c>
      <c r="D342" s="112">
        <v>2019</v>
      </c>
      <c r="E342" s="112">
        <v>2020</v>
      </c>
      <c r="F342" s="112">
        <v>2021</v>
      </c>
    </row>
    <row r="343" spans="2:6" ht="15.75" thickBot="1" x14ac:dyDescent="0.3">
      <c r="B343" s="811"/>
      <c r="C343" s="111" t="s">
        <v>10</v>
      </c>
      <c r="D343" s="111" t="s">
        <v>11</v>
      </c>
      <c r="E343" s="111" t="s">
        <v>11</v>
      </c>
      <c r="F343" s="111" t="s">
        <v>11</v>
      </c>
    </row>
    <row r="344" spans="2:6" ht="15.75" thickBot="1" x14ac:dyDescent="0.3">
      <c r="B344" s="100" t="s">
        <v>26</v>
      </c>
      <c r="C344" s="93">
        <f>199200-C272-C249-C199-C86-C63-C40</f>
        <v>93840</v>
      </c>
      <c r="D344" s="93">
        <f>225000-D272-D249-D199-D86-D63-D40-19000</f>
        <v>97830</v>
      </c>
      <c r="E344" s="93">
        <f>225500-E272-E249-E199-E86-E63-E40</f>
        <v>117030</v>
      </c>
      <c r="F344" s="93">
        <f>225500-F272-F249-F199-F86-F63-F40</f>
        <v>117030</v>
      </c>
    </row>
    <row r="345" spans="2:6" ht="15.75" thickBot="1" x14ac:dyDescent="0.3">
      <c r="B345" s="100" t="s">
        <v>28</v>
      </c>
      <c r="C345" s="93">
        <f>33000-C273-C250-C200-C87-C64-C41</f>
        <v>15642</v>
      </c>
      <c r="D345" s="93">
        <f>33000-D273-D250-D200-D87-D64-D41</f>
        <v>15416</v>
      </c>
      <c r="E345" s="93">
        <f t="shared" ref="E345:F345" si="32">33000-E273-E250-E200-E87-E64-E41</f>
        <v>15416</v>
      </c>
      <c r="F345" s="93">
        <f t="shared" si="32"/>
        <v>15416</v>
      </c>
    </row>
    <row r="346" spans="2:6" ht="15.75" thickBot="1" x14ac:dyDescent="0.3">
      <c r="B346" s="100" t="s">
        <v>30</v>
      </c>
      <c r="C346" s="93">
        <f>151200-C274-C251-C201-C88-C65-C42</f>
        <v>22471</v>
      </c>
      <c r="D346" s="93">
        <v>38854</v>
      </c>
      <c r="E346" s="93">
        <f>151500-E274-E251-E201-E88-E65-E42</f>
        <v>51696</v>
      </c>
      <c r="F346" s="93">
        <f>159700-F274-F251-F201-F88-F65-F42</f>
        <v>59732</v>
      </c>
    </row>
    <row r="347" spans="2:6" ht="15.75" hidden="1" thickBot="1" x14ac:dyDescent="0.3">
      <c r="B347" s="100" t="s">
        <v>32</v>
      </c>
      <c r="C347" s="98">
        <v>0</v>
      </c>
      <c r="D347" s="98">
        <v>0</v>
      </c>
      <c r="E347" s="98">
        <v>0</v>
      </c>
      <c r="F347" s="98">
        <v>0</v>
      </c>
    </row>
    <row r="348" spans="2:6" ht="15.75" hidden="1" thickBot="1" x14ac:dyDescent="0.3">
      <c r="B348" s="100" t="s">
        <v>34</v>
      </c>
      <c r="C348" s="98">
        <v>0</v>
      </c>
      <c r="D348" s="98">
        <v>0</v>
      </c>
      <c r="E348" s="98">
        <v>0</v>
      </c>
      <c r="F348" s="98">
        <v>0</v>
      </c>
    </row>
    <row r="349" spans="2:6" ht="15.75" hidden="1" thickBot="1" x14ac:dyDescent="0.3">
      <c r="B349" s="100" t="s">
        <v>36</v>
      </c>
      <c r="C349" s="98">
        <v>0</v>
      </c>
      <c r="D349" s="98">
        <v>0</v>
      </c>
      <c r="E349" s="98">
        <v>0</v>
      </c>
      <c r="F349" s="98">
        <v>0</v>
      </c>
    </row>
    <row r="350" spans="2:6" ht="15.75" hidden="1" thickBot="1" x14ac:dyDescent="0.3">
      <c r="B350" s="100" t="s">
        <v>38</v>
      </c>
      <c r="C350" s="98">
        <v>0</v>
      </c>
      <c r="D350" s="98">
        <v>0</v>
      </c>
      <c r="E350" s="98">
        <v>0</v>
      </c>
      <c r="F350" s="98">
        <v>0</v>
      </c>
    </row>
    <row r="351" spans="2:6" ht="15.75" thickBot="1" x14ac:dyDescent="0.3">
      <c r="B351" s="119" t="s">
        <v>40</v>
      </c>
      <c r="C351" s="98">
        <f>C350+C349+C348+C347+C346+C345+C344</f>
        <v>131953</v>
      </c>
      <c r="D351" s="98">
        <f>D350+D349+D348+D347+D346+D345+D344</f>
        <v>152100</v>
      </c>
      <c r="E351" s="98">
        <f>E350+E349+E348+E347+E346+E345+E344</f>
        <v>184142</v>
      </c>
      <c r="F351" s="98">
        <f>F350+F349+F348+F347+F346+F345+F344</f>
        <v>192178</v>
      </c>
    </row>
    <row r="352" spans="2:6" ht="16.149999999999999" customHeight="1" thickBot="1" x14ac:dyDescent="0.3">
      <c r="B352" s="96" t="s">
        <v>41</v>
      </c>
      <c r="C352" s="95">
        <f>IF(C351-C336=0,0,"Error")</f>
        <v>0</v>
      </c>
      <c r="D352" s="95">
        <f>IF(D351-D336=0,0,"Error")</f>
        <v>0</v>
      </c>
      <c r="E352" s="95">
        <f>IF(E351-E336=0,0,"Error")</f>
        <v>0</v>
      </c>
      <c r="F352" s="95">
        <f>IF(F351-F336=0,0,"Error")</f>
        <v>0</v>
      </c>
    </row>
    <row r="353" spans="2:10" ht="34.9" customHeight="1" thickBot="1" x14ac:dyDescent="0.3">
      <c r="B353" s="107"/>
      <c r="C353" s="106"/>
      <c r="D353" s="106"/>
      <c r="E353" s="106"/>
      <c r="F353" s="106"/>
    </row>
    <row r="354" spans="2:10" ht="39" customHeight="1" thickBot="1" x14ac:dyDescent="0.3">
      <c r="B354" s="105" t="s">
        <v>82</v>
      </c>
      <c r="C354" s="104">
        <f>C217++C189+C164+C146+C126+C105+C55+C32+C78+C241+C264+C291+C312+C336</f>
        <v>507400</v>
      </c>
      <c r="D354" s="104">
        <f t="shared" ref="D354:F354" si="33">D217++D189+D164+D146+D126+D105+D55+D32+D78+D241+D264+D291+D312+D336</f>
        <v>448000</v>
      </c>
      <c r="E354" s="104">
        <f t="shared" si="33"/>
        <v>458000</v>
      </c>
      <c r="F354" s="104">
        <f t="shared" si="33"/>
        <v>466200</v>
      </c>
    </row>
    <row r="355" spans="2:10" ht="29.25" thickBot="1" x14ac:dyDescent="0.3">
      <c r="B355" s="105" t="s">
        <v>83</v>
      </c>
      <c r="C355" s="104">
        <f>C357+C359+C361+C363+C365+C367+C369+C371+C373</f>
        <v>507400</v>
      </c>
      <c r="D355" s="104">
        <f t="shared" ref="D355:F355" si="34">D357+D359+D361+D363+D365+D367+D369+D371+D373</f>
        <v>448000</v>
      </c>
      <c r="E355" s="104">
        <f t="shared" si="34"/>
        <v>458000</v>
      </c>
      <c r="F355" s="104">
        <f t="shared" si="34"/>
        <v>466200</v>
      </c>
      <c r="H355" s="163"/>
      <c r="I355" s="163"/>
      <c r="J355" s="163"/>
    </row>
    <row r="356" spans="2:10" ht="30.75" thickBot="1" x14ac:dyDescent="0.3">
      <c r="B356" s="103" t="s">
        <v>84</v>
      </c>
      <c r="C356" s="102"/>
      <c r="D356" s="101">
        <f>D355/C355-1</f>
        <v>-0.11706740244383129</v>
      </c>
      <c r="E356" s="101">
        <f t="shared" ref="E356:F356" si="35">E355/D355-1</f>
        <v>2.2321428571428603E-2</v>
      </c>
      <c r="F356" s="101">
        <f t="shared" si="35"/>
        <v>1.7903930131004442E-2</v>
      </c>
    </row>
    <row r="357" spans="2:10" ht="21.6" customHeight="1" thickBot="1" x14ac:dyDescent="0.3">
      <c r="B357" s="100" t="s">
        <v>26</v>
      </c>
      <c r="C357" s="93">
        <f>C40+C63+C86+C199+C249+C272+C344</f>
        <v>199200</v>
      </c>
      <c r="D357" s="93">
        <f t="shared" ref="D357:F357" si="36">D40+D63+D86+D199+D249+D272+D344</f>
        <v>206000</v>
      </c>
      <c r="E357" s="93">
        <f t="shared" si="36"/>
        <v>225500</v>
      </c>
      <c r="F357" s="93">
        <f t="shared" si="36"/>
        <v>225500</v>
      </c>
      <c r="H357" s="163"/>
      <c r="I357" s="163"/>
      <c r="J357" s="163"/>
    </row>
    <row r="358" spans="2:10" ht="19.149999999999999" customHeight="1" thickBot="1" x14ac:dyDescent="0.3">
      <c r="B358" s="99" t="s">
        <v>85</v>
      </c>
      <c r="C358" s="98"/>
      <c r="D358" s="97">
        <f>D357/C357-1</f>
        <v>3.4136546184738936E-2</v>
      </c>
      <c r="E358" s="97">
        <f t="shared" ref="E358:F358" si="37">E357/D357-1</f>
        <v>9.4660194174757351E-2</v>
      </c>
      <c r="F358" s="97">
        <f t="shared" si="37"/>
        <v>0</v>
      </c>
    </row>
    <row r="359" spans="2:10" ht="15.75" thickBot="1" x14ac:dyDescent="0.3">
      <c r="B359" s="100" t="s">
        <v>28</v>
      </c>
      <c r="C359" s="93">
        <f>C41+C64+C87+C200+C250+C273+C345</f>
        <v>33000</v>
      </c>
      <c r="D359" s="93">
        <f t="shared" ref="D359:F359" si="38">D41+D64+D87+D200+D250+D273+D345</f>
        <v>33000</v>
      </c>
      <c r="E359" s="93">
        <f t="shared" si="38"/>
        <v>33000</v>
      </c>
      <c r="F359" s="93">
        <f t="shared" si="38"/>
        <v>33000</v>
      </c>
    </row>
    <row r="360" spans="2:10" ht="30.75" thickBot="1" x14ac:dyDescent="0.3">
      <c r="B360" s="99" t="s">
        <v>86</v>
      </c>
      <c r="C360" s="98"/>
      <c r="D360" s="97">
        <f>D359/C359-1</f>
        <v>0</v>
      </c>
      <c r="E360" s="97">
        <f t="shared" ref="E360:F360" si="39">E359/D359-1</f>
        <v>0</v>
      </c>
      <c r="F360" s="97">
        <f t="shared" si="39"/>
        <v>0</v>
      </c>
    </row>
    <row r="361" spans="2:10" ht="15.75" thickBot="1" x14ac:dyDescent="0.3">
      <c r="B361" s="100" t="s">
        <v>30</v>
      </c>
      <c r="C361" s="93">
        <f>SUM(C346,C274,C251,C201,C88,C65,C42)</f>
        <v>151200</v>
      </c>
      <c r="D361" s="93">
        <f t="shared" ref="D361:F361" si="40">SUM(D346,D274,D251,D201,D88,D65,D42)</f>
        <v>161000</v>
      </c>
      <c r="E361" s="93">
        <f t="shared" si="40"/>
        <v>151500</v>
      </c>
      <c r="F361" s="93">
        <f t="shared" si="40"/>
        <v>159700</v>
      </c>
    </row>
    <row r="362" spans="2:10" ht="15.75" thickBot="1" x14ac:dyDescent="0.3">
      <c r="B362" s="99" t="s">
        <v>87</v>
      </c>
      <c r="C362" s="98"/>
      <c r="D362" s="97"/>
      <c r="E362" s="97"/>
      <c r="F362" s="97"/>
    </row>
    <row r="363" spans="2:10" ht="15.75" hidden="1" thickBot="1" x14ac:dyDescent="0.3">
      <c r="B363" s="100" t="s">
        <v>32</v>
      </c>
      <c r="C363" s="93"/>
      <c r="D363" s="93"/>
      <c r="E363" s="93"/>
      <c r="F363" s="93"/>
    </row>
    <row r="364" spans="2:10" ht="15.75" hidden="1" thickBot="1" x14ac:dyDescent="0.3">
      <c r="B364" s="99" t="s">
        <v>88</v>
      </c>
      <c r="C364" s="98"/>
      <c r="D364" s="97"/>
      <c r="E364" s="97"/>
      <c r="F364" s="97"/>
    </row>
    <row r="365" spans="2:10" ht="15.75" hidden="1" thickBot="1" x14ac:dyDescent="0.3">
      <c r="B365" s="100" t="s">
        <v>34</v>
      </c>
      <c r="C365" s="93"/>
      <c r="D365" s="93"/>
      <c r="E365" s="93"/>
      <c r="F365" s="93"/>
    </row>
    <row r="366" spans="2:10" ht="15.75" hidden="1" thickBot="1" x14ac:dyDescent="0.3">
      <c r="B366" s="99" t="s">
        <v>89</v>
      </c>
      <c r="C366" s="98"/>
      <c r="D366" s="97"/>
      <c r="E366" s="97"/>
      <c r="F366" s="97"/>
    </row>
    <row r="367" spans="2:10" ht="15.75" hidden="1" thickBot="1" x14ac:dyDescent="0.3">
      <c r="B367" s="100" t="s">
        <v>36</v>
      </c>
      <c r="C367" s="93"/>
      <c r="D367" s="93"/>
      <c r="E367" s="93"/>
      <c r="F367" s="93"/>
    </row>
    <row r="368" spans="2:10" ht="15.75" hidden="1" thickBot="1" x14ac:dyDescent="0.3">
      <c r="B368" s="99" t="s">
        <v>90</v>
      </c>
      <c r="C368" s="98"/>
      <c r="D368" s="97"/>
      <c r="E368" s="97"/>
      <c r="F368" s="97"/>
    </row>
    <row r="369" spans="1:7" ht="15.75" hidden="1" thickBot="1" x14ac:dyDescent="0.3">
      <c r="B369" s="100" t="s">
        <v>38</v>
      </c>
      <c r="C369" s="93"/>
      <c r="D369" s="93"/>
      <c r="E369" s="93"/>
      <c r="F369" s="93"/>
    </row>
    <row r="370" spans="1:7" ht="30.75" hidden="1" thickBot="1" x14ac:dyDescent="0.3">
      <c r="B370" s="99" t="s">
        <v>91</v>
      </c>
      <c r="C370" s="98"/>
      <c r="D370" s="97"/>
      <c r="E370" s="97"/>
      <c r="F370" s="97"/>
    </row>
    <row r="371" spans="1:7" ht="15.75" thickBot="1" x14ac:dyDescent="0.3">
      <c r="B371" s="100" t="s">
        <v>92</v>
      </c>
      <c r="C371" s="93">
        <f>C113+C134+C225+C299+C320</f>
        <v>408</v>
      </c>
      <c r="D371" s="93">
        <f t="shared" ref="D371:F371" si="41">D113+D134+D225+D299+D320</f>
        <v>0</v>
      </c>
      <c r="E371" s="93">
        <f t="shared" si="41"/>
        <v>0</v>
      </c>
      <c r="F371" s="93">
        <f t="shared" si="41"/>
        <v>0</v>
      </c>
    </row>
    <row r="372" spans="1:7" ht="15.75" thickBot="1" x14ac:dyDescent="0.3">
      <c r="B372" s="99" t="s">
        <v>93</v>
      </c>
      <c r="C372" s="98"/>
      <c r="D372" s="97">
        <f>D371/C371-1</f>
        <v>-1</v>
      </c>
      <c r="E372" s="97">
        <v>0</v>
      </c>
      <c r="F372" s="97">
        <v>0</v>
      </c>
    </row>
    <row r="373" spans="1:7" ht="28.15" customHeight="1" thickBot="1" x14ac:dyDescent="0.3">
      <c r="B373" s="100" t="s">
        <v>94</v>
      </c>
      <c r="C373" s="93">
        <f>C114+C135+C226+C300+C321</f>
        <v>123592</v>
      </c>
      <c r="D373" s="93">
        <f t="shared" ref="D373:F373" si="42">D114+D135+D226+D300+D321</f>
        <v>48000</v>
      </c>
      <c r="E373" s="93">
        <f t="shared" si="42"/>
        <v>48000</v>
      </c>
      <c r="F373" s="93">
        <f t="shared" si="42"/>
        <v>48000</v>
      </c>
    </row>
    <row r="374" spans="1:7" ht="15.75" thickBot="1" x14ac:dyDescent="0.3">
      <c r="B374" s="99" t="s">
        <v>95</v>
      </c>
      <c r="C374" s="98"/>
      <c r="D374" s="97">
        <f>D373/C373-1</f>
        <v>-0.61162534791895917</v>
      </c>
      <c r="E374" s="97">
        <f t="shared" ref="E374:F374" si="43">E373/D373-1</f>
        <v>0</v>
      </c>
      <c r="F374" s="97">
        <f t="shared" si="43"/>
        <v>0</v>
      </c>
    </row>
    <row r="375" spans="1:7" ht="15.75" thickBot="1" x14ac:dyDescent="0.3">
      <c r="B375" s="96" t="s">
        <v>41</v>
      </c>
      <c r="C375" s="95">
        <f>IF(C355-C354=0,0,"Error")</f>
        <v>0</v>
      </c>
      <c r="D375" s="95">
        <f t="shared" ref="D375:F375" si="44">IF(D355-D354=0,0,"Error")</f>
        <v>0</v>
      </c>
      <c r="E375" s="95">
        <f t="shared" si="44"/>
        <v>0</v>
      </c>
      <c r="F375" s="95">
        <f t="shared" si="44"/>
        <v>0</v>
      </c>
    </row>
    <row r="376" spans="1:7" ht="29.25" thickBot="1" x14ac:dyDescent="0.3">
      <c r="B376" s="94" t="s">
        <v>96</v>
      </c>
      <c r="C376" s="93">
        <v>212</v>
      </c>
      <c r="D376" s="93">
        <v>212</v>
      </c>
      <c r="E376" s="93">
        <v>212</v>
      </c>
      <c r="F376" s="93">
        <v>212</v>
      </c>
    </row>
    <row r="377" spans="1:7" ht="29.25" thickBot="1" x14ac:dyDescent="0.3">
      <c r="B377" s="94" t="s">
        <v>97</v>
      </c>
      <c r="C377" s="93">
        <v>10</v>
      </c>
      <c r="D377" s="93">
        <v>10</v>
      </c>
      <c r="E377" s="93">
        <v>10</v>
      </c>
      <c r="F377" s="93">
        <v>10</v>
      </c>
    </row>
    <row r="378" spans="1:7" x14ac:dyDescent="0.25">
      <c r="B378" s="184"/>
      <c r="C378" s="185"/>
      <c r="D378" s="185"/>
      <c r="E378" s="185"/>
      <c r="F378" s="185"/>
    </row>
    <row r="379" spans="1:7" x14ac:dyDescent="0.25">
      <c r="A379" s="191"/>
      <c r="B379" s="189"/>
      <c r="C379" s="190"/>
      <c r="D379" s="191"/>
      <c r="E379" s="189"/>
      <c r="F379" s="189"/>
    </row>
    <row r="380" spans="1:7" hidden="1" x14ac:dyDescent="0.25">
      <c r="A380" s="191"/>
      <c r="B380" s="206" t="s">
        <v>98</v>
      </c>
      <c r="C380" s="190"/>
      <c r="D380" s="191"/>
      <c r="E380" s="189"/>
      <c r="F380" s="189"/>
    </row>
    <row r="381" spans="1:7" ht="39.75" hidden="1" customHeight="1" x14ac:dyDescent="0.25">
      <c r="A381" s="191"/>
      <c r="B381" s="870" t="s">
        <v>108</v>
      </c>
      <c r="C381" s="871"/>
      <c r="D381" s="871"/>
      <c r="E381" s="871"/>
      <c r="F381" s="872"/>
    </row>
    <row r="382" spans="1:7" ht="40.5" hidden="1" customHeight="1" x14ac:dyDescent="0.25">
      <c r="A382" s="191"/>
      <c r="B382" s="873" t="s">
        <v>109</v>
      </c>
      <c r="C382" s="874"/>
      <c r="D382" s="874"/>
      <c r="E382" s="874"/>
      <c r="F382" s="875"/>
    </row>
    <row r="383" spans="1:7" ht="28.5" hidden="1" customHeight="1" x14ac:dyDescent="0.25">
      <c r="B383" s="876" t="s">
        <v>110</v>
      </c>
      <c r="C383" s="877"/>
      <c r="D383" s="877"/>
      <c r="E383" s="877"/>
      <c r="F383" s="878"/>
      <c r="G383" s="207"/>
    </row>
    <row r="384" spans="1:7" ht="18" hidden="1" customHeight="1" x14ac:dyDescent="0.25">
      <c r="B384" s="876" t="s">
        <v>99</v>
      </c>
      <c r="C384" s="877"/>
      <c r="D384" s="877"/>
      <c r="E384" s="877"/>
      <c r="F384" s="878"/>
      <c r="G384" s="207"/>
    </row>
    <row r="385" spans="2:7" ht="36" hidden="1" customHeight="1" x14ac:dyDescent="0.25">
      <c r="B385" s="876" t="s">
        <v>100</v>
      </c>
      <c r="C385" s="877"/>
      <c r="D385" s="877"/>
      <c r="E385" s="877"/>
      <c r="F385" s="878"/>
      <c r="G385" s="208"/>
    </row>
    <row r="386" spans="2:7" ht="27" hidden="1" customHeight="1" x14ac:dyDescent="0.25">
      <c r="B386" s="879" t="s">
        <v>795</v>
      </c>
      <c r="C386" s="880"/>
      <c r="D386" s="880"/>
      <c r="E386" s="880"/>
      <c r="F386" s="881"/>
    </row>
    <row r="387" spans="2:7" ht="47.25" hidden="1" customHeight="1" thickBot="1" x14ac:dyDescent="0.3">
      <c r="B387" s="867" t="s">
        <v>101</v>
      </c>
      <c r="C387" s="868"/>
      <c r="D387" s="868"/>
      <c r="E387" s="868"/>
      <c r="F387" s="869"/>
    </row>
    <row r="388" spans="2:7" ht="15.75" thickBot="1" x14ac:dyDescent="0.3"/>
    <row r="389" spans="2:7" ht="15.75" thickBot="1" x14ac:dyDescent="0.3">
      <c r="B389" s="127" t="s">
        <v>2</v>
      </c>
      <c r="C389" s="851" t="s">
        <v>664</v>
      </c>
      <c r="D389" s="851"/>
      <c r="E389" s="851"/>
      <c r="F389" s="851"/>
    </row>
    <row r="390" spans="2:7" ht="15.75" thickBot="1" x14ac:dyDescent="0.3">
      <c r="B390" s="127" t="s">
        <v>3</v>
      </c>
      <c r="C390" s="852" t="s">
        <v>663</v>
      </c>
      <c r="D390" s="853"/>
      <c r="E390" s="853"/>
      <c r="F390" s="854"/>
    </row>
    <row r="391" spans="2:7" ht="15.75" thickBot="1" x14ac:dyDescent="0.3">
      <c r="B391" s="127" t="s">
        <v>5</v>
      </c>
      <c r="C391" s="804" t="s">
        <v>6</v>
      </c>
      <c r="D391" s="805"/>
      <c r="E391" s="805"/>
      <c r="F391" s="806"/>
    </row>
    <row r="392" spans="2:7" ht="15.75" thickBot="1" x14ac:dyDescent="0.3">
      <c r="B392" s="855" t="s">
        <v>7</v>
      </c>
      <c r="C392" s="856"/>
      <c r="D392" s="856"/>
      <c r="E392" s="856"/>
      <c r="F392" s="857"/>
    </row>
    <row r="393" spans="2:7" ht="15.75" thickBot="1" x14ac:dyDescent="0.3">
      <c r="B393" s="858" t="s">
        <v>662</v>
      </c>
      <c r="C393" s="859"/>
      <c r="D393" s="859"/>
      <c r="E393" s="859"/>
      <c r="F393" s="860"/>
    </row>
    <row r="394" spans="2:7" ht="15.75" thickBot="1" x14ac:dyDescent="0.3">
      <c r="B394" s="858"/>
      <c r="C394" s="859"/>
      <c r="D394" s="859"/>
      <c r="E394" s="859"/>
      <c r="F394" s="860"/>
    </row>
    <row r="395" spans="2:7" ht="79.5" customHeight="1" thickBot="1" x14ac:dyDescent="0.3">
      <c r="B395" s="858"/>
      <c r="C395" s="859"/>
      <c r="D395" s="859"/>
      <c r="E395" s="859"/>
      <c r="F395" s="860"/>
    </row>
    <row r="396" spans="2:7" ht="15.75" thickBot="1" x14ac:dyDescent="0.3">
      <c r="B396" s="126" t="s">
        <v>8</v>
      </c>
      <c r="C396" s="861" t="s">
        <v>661</v>
      </c>
      <c r="D396" s="862"/>
      <c r="E396" s="862"/>
      <c r="F396" s="863"/>
    </row>
    <row r="397" spans="2:7" x14ac:dyDescent="0.25">
      <c r="B397" s="810" t="s">
        <v>9</v>
      </c>
      <c r="C397" s="125">
        <v>2018</v>
      </c>
      <c r="D397" s="125">
        <v>2019</v>
      </c>
      <c r="E397" s="125">
        <v>2020</v>
      </c>
      <c r="F397" s="125">
        <v>2021</v>
      </c>
    </row>
    <row r="398" spans="2:7" ht="15.75" thickBot="1" x14ac:dyDescent="0.3">
      <c r="B398" s="811"/>
      <c r="C398" s="124" t="s">
        <v>10</v>
      </c>
      <c r="D398" s="124" t="s">
        <v>11</v>
      </c>
      <c r="E398" s="124" t="s">
        <v>11</v>
      </c>
      <c r="F398" s="124" t="s">
        <v>11</v>
      </c>
    </row>
    <row r="399" spans="2:7" ht="15.75" thickBot="1" x14ac:dyDescent="0.3">
      <c r="B399" s="149" t="s">
        <v>660</v>
      </c>
      <c r="C399" s="117"/>
      <c r="D399" s="117"/>
      <c r="E399" s="117"/>
      <c r="F399" s="117"/>
    </row>
    <row r="400" spans="2:7" ht="30.75" thickBot="1" x14ac:dyDescent="0.3">
      <c r="B400" s="114" t="s">
        <v>659</v>
      </c>
      <c r="C400" s="117"/>
      <c r="D400" s="117"/>
      <c r="E400" s="117"/>
      <c r="F400" s="117"/>
    </row>
    <row r="401" spans="2:6" ht="15.75" thickBot="1" x14ac:dyDescent="0.3">
      <c r="B401" s="114" t="s">
        <v>658</v>
      </c>
      <c r="C401" s="117"/>
      <c r="D401" s="117"/>
      <c r="E401" s="117"/>
      <c r="F401" s="117"/>
    </row>
    <row r="402" spans="2:6" ht="15.75" thickBot="1" x14ac:dyDescent="0.3">
      <c r="B402" s="114" t="s">
        <v>657</v>
      </c>
      <c r="C402" s="117"/>
      <c r="D402" s="117"/>
      <c r="E402" s="117"/>
      <c r="F402" s="117"/>
    </row>
    <row r="403" spans="2:6" ht="15.75" thickBot="1" x14ac:dyDescent="0.3">
      <c r="B403" s="114" t="s">
        <v>656</v>
      </c>
      <c r="C403" s="117"/>
      <c r="D403" s="117"/>
      <c r="E403" s="117"/>
      <c r="F403" s="117"/>
    </row>
    <row r="404" spans="2:6" ht="47.25" customHeight="1" thickBot="1" x14ac:dyDescent="0.3">
      <c r="B404" s="105" t="s">
        <v>12</v>
      </c>
      <c r="C404" s="864" t="s">
        <v>655</v>
      </c>
      <c r="D404" s="865"/>
      <c r="E404" s="865"/>
      <c r="F404" s="866"/>
    </row>
    <row r="405" spans="2:6" ht="15.75" thickBot="1" x14ac:dyDescent="0.3">
      <c r="B405" s="804" t="s">
        <v>13</v>
      </c>
      <c r="C405" s="805"/>
      <c r="D405" s="805"/>
      <c r="E405" s="805"/>
      <c r="F405" s="806"/>
    </row>
    <row r="406" spans="2:6" ht="15.75" thickBot="1" x14ac:dyDescent="0.3">
      <c r="B406" s="114" t="s">
        <v>654</v>
      </c>
      <c r="C406" s="117" t="s">
        <v>116</v>
      </c>
      <c r="D406" s="117" t="s">
        <v>117</v>
      </c>
      <c r="E406" s="117" t="s">
        <v>117</v>
      </c>
      <c r="F406" s="117" t="s">
        <v>117</v>
      </c>
    </row>
    <row r="407" spans="2:6" ht="15.75" thickBot="1" x14ac:dyDescent="0.3">
      <c r="B407" s="114" t="s">
        <v>653</v>
      </c>
      <c r="C407" s="117" t="s">
        <v>116</v>
      </c>
      <c r="D407" s="117" t="s">
        <v>117</v>
      </c>
      <c r="E407" s="117" t="s">
        <v>117</v>
      </c>
      <c r="F407" s="117" t="s">
        <v>117</v>
      </c>
    </row>
    <row r="408" spans="2:6" ht="15.75" thickBot="1" x14ac:dyDescent="0.3">
      <c r="B408" s="833" t="s">
        <v>14</v>
      </c>
      <c r="C408" s="834"/>
      <c r="D408" s="834"/>
      <c r="E408" s="834"/>
      <c r="F408" s="835"/>
    </row>
    <row r="409" spans="2:6" ht="15.75" thickBot="1" x14ac:dyDescent="0.3">
      <c r="B409" s="833" t="s">
        <v>15</v>
      </c>
      <c r="C409" s="834"/>
      <c r="D409" s="834"/>
      <c r="E409" s="834"/>
      <c r="F409" s="835"/>
    </row>
    <row r="410" spans="2:6" ht="15.75" thickBot="1" x14ac:dyDescent="0.3">
      <c r="B410" s="116" t="s">
        <v>16</v>
      </c>
      <c r="C410" s="833" t="s">
        <v>652</v>
      </c>
      <c r="D410" s="834"/>
      <c r="E410" s="834"/>
      <c r="F410" s="835"/>
    </row>
    <row r="411" spans="2:6" ht="15.75" thickBot="1" x14ac:dyDescent="0.3">
      <c r="B411" s="114" t="s">
        <v>17</v>
      </c>
      <c r="C411" s="804" t="s">
        <v>651</v>
      </c>
      <c r="D411" s="805"/>
      <c r="E411" s="805"/>
      <c r="F411" s="806"/>
    </row>
    <row r="412" spans="2:6" ht="15.75" thickBot="1" x14ac:dyDescent="0.3">
      <c r="B412" s="114" t="s">
        <v>18</v>
      </c>
      <c r="C412" s="807" t="s">
        <v>650</v>
      </c>
      <c r="D412" s="808"/>
      <c r="E412" s="808"/>
      <c r="F412" s="809"/>
    </row>
    <row r="413" spans="2:6" x14ac:dyDescent="0.25">
      <c r="B413" s="810"/>
      <c r="C413" s="112">
        <v>2018</v>
      </c>
      <c r="D413" s="112">
        <v>2019</v>
      </c>
      <c r="E413" s="112">
        <v>2020</v>
      </c>
      <c r="F413" s="112">
        <v>2021</v>
      </c>
    </row>
    <row r="414" spans="2:6" ht="15.75" thickBot="1" x14ac:dyDescent="0.3">
      <c r="B414" s="811"/>
      <c r="C414" s="111" t="s">
        <v>10</v>
      </c>
      <c r="D414" s="111" t="s">
        <v>11</v>
      </c>
      <c r="E414" s="111" t="s">
        <v>11</v>
      </c>
      <c r="F414" s="111" t="s">
        <v>11</v>
      </c>
    </row>
    <row r="415" spans="2:6" ht="15.75" thickBot="1" x14ac:dyDescent="0.3">
      <c r="B415" s="114" t="s">
        <v>19</v>
      </c>
      <c r="C415" s="115"/>
      <c r="D415" s="115"/>
      <c r="E415" s="115"/>
      <c r="F415" s="115"/>
    </row>
    <row r="416" spans="2:6" ht="15.75" thickBot="1" x14ac:dyDescent="0.3">
      <c r="B416" s="114" t="s">
        <v>20</v>
      </c>
      <c r="C416" s="115">
        <f>C445</f>
        <v>552906</v>
      </c>
      <c r="D416" s="115">
        <f>D445</f>
        <v>556482</v>
      </c>
      <c r="E416" s="115">
        <f>E445</f>
        <v>561482</v>
      </c>
      <c r="F416" s="115">
        <f>F445</f>
        <v>576559</v>
      </c>
    </row>
    <row r="417" spans="2:6" ht="15.75" thickBot="1" x14ac:dyDescent="0.3">
      <c r="B417" s="114" t="s">
        <v>21</v>
      </c>
      <c r="C417" s="115" t="e">
        <f>C416/C415</f>
        <v>#DIV/0!</v>
      </c>
      <c r="D417" s="115" t="e">
        <f>D416/D415</f>
        <v>#DIV/0!</v>
      </c>
      <c r="E417" s="115" t="e">
        <f>E416/E415</f>
        <v>#DIV/0!</v>
      </c>
      <c r="F417" s="115" t="e">
        <f>F416/F415</f>
        <v>#DIV/0!</v>
      </c>
    </row>
    <row r="418" spans="2:6" ht="15.75" thickBot="1" x14ac:dyDescent="0.3">
      <c r="B418" s="114" t="s">
        <v>22</v>
      </c>
      <c r="C418" s="148" t="s">
        <v>23</v>
      </c>
      <c r="D418" s="113" t="e">
        <f t="shared" ref="D418:F420" si="45">D415/C415-1</f>
        <v>#DIV/0!</v>
      </c>
      <c r="E418" s="113" t="e">
        <f t="shared" si="45"/>
        <v>#DIV/0!</v>
      </c>
      <c r="F418" s="113" t="e">
        <f t="shared" si="45"/>
        <v>#DIV/0!</v>
      </c>
    </row>
    <row r="419" spans="2:6" ht="15.75" thickBot="1" x14ac:dyDescent="0.3">
      <c r="B419" s="114" t="s">
        <v>24</v>
      </c>
      <c r="C419" s="148" t="s">
        <v>23</v>
      </c>
      <c r="D419" s="113">
        <f t="shared" si="45"/>
        <v>6.467645494894203E-3</v>
      </c>
      <c r="E419" s="113">
        <f t="shared" si="45"/>
        <v>8.985016586340544E-3</v>
      </c>
      <c r="F419" s="113">
        <f t="shared" si="45"/>
        <v>2.6852151983500772E-2</v>
      </c>
    </row>
    <row r="420" spans="2:6" ht="15.75" thickBot="1" x14ac:dyDescent="0.3">
      <c r="B420" s="114" t="s">
        <v>25</v>
      </c>
      <c r="C420" s="148" t="s">
        <v>23</v>
      </c>
      <c r="D420" s="113" t="e">
        <f t="shared" si="45"/>
        <v>#DIV/0!</v>
      </c>
      <c r="E420" s="113" t="e">
        <f t="shared" si="45"/>
        <v>#DIV/0!</v>
      </c>
      <c r="F420" s="113" t="e">
        <f t="shared" si="45"/>
        <v>#DIV/0!</v>
      </c>
    </row>
    <row r="421" spans="2:6" ht="15.75" thickBot="1" x14ac:dyDescent="0.3">
      <c r="B421" s="812" t="s">
        <v>630</v>
      </c>
      <c r="C421" s="813"/>
      <c r="D421" s="813"/>
      <c r="E421" s="813"/>
      <c r="F421" s="814"/>
    </row>
    <row r="422" spans="2:6" x14ac:dyDescent="0.25">
      <c r="B422" s="810"/>
      <c r="C422" s="112">
        <v>2018</v>
      </c>
      <c r="D422" s="112">
        <v>2019</v>
      </c>
      <c r="E422" s="112">
        <v>2020</v>
      </c>
      <c r="F422" s="112">
        <v>2021</v>
      </c>
    </row>
    <row r="423" spans="2:6" ht="15.75" thickBot="1" x14ac:dyDescent="0.3">
      <c r="B423" s="811"/>
      <c r="C423" s="111" t="s">
        <v>10</v>
      </c>
      <c r="D423" s="111" t="s">
        <v>11</v>
      </c>
      <c r="E423" s="111" t="s">
        <v>11</v>
      </c>
      <c r="F423" s="111" t="s">
        <v>11</v>
      </c>
    </row>
    <row r="424" spans="2:6" ht="15.75" thickBot="1" x14ac:dyDescent="0.3">
      <c r="B424" s="100" t="s">
        <v>26</v>
      </c>
      <c r="C424" s="93">
        <f>332000-C522-C562-C701-C752-C802</f>
        <v>309513</v>
      </c>
      <c r="D424" s="93">
        <v>311389</v>
      </c>
      <c r="E424" s="93">
        <v>311389</v>
      </c>
      <c r="F424" s="93">
        <v>326736</v>
      </c>
    </row>
    <row r="425" spans="2:6" ht="30.75" thickBot="1" x14ac:dyDescent="0.3">
      <c r="B425" s="99" t="s">
        <v>27</v>
      </c>
      <c r="C425" s="98"/>
      <c r="D425" s="123"/>
      <c r="E425" s="123"/>
      <c r="F425" s="123"/>
    </row>
    <row r="426" spans="2:6" ht="30.75" thickBot="1" x14ac:dyDescent="0.3">
      <c r="B426" s="99" t="s">
        <v>649</v>
      </c>
      <c r="C426" s="98"/>
      <c r="D426" s="97"/>
      <c r="E426" s="97"/>
      <c r="F426" s="97"/>
    </row>
    <row r="427" spans="2:6" ht="15.75" thickBot="1" x14ac:dyDescent="0.3">
      <c r="B427" s="100" t="s">
        <v>28</v>
      </c>
      <c r="C427" s="93">
        <f>47000-C525-C565-C704-C755-C805</f>
        <v>43393</v>
      </c>
      <c r="D427" s="93">
        <f>47000-D525-D565-D704-D755-D805</f>
        <v>43093</v>
      </c>
      <c r="E427" s="93">
        <f>47000-E525-E565-E704-E755-E805</f>
        <v>43093</v>
      </c>
      <c r="F427" s="93">
        <f>47000-F525-F565-F704-F755-F805+1000</f>
        <v>43800</v>
      </c>
    </row>
    <row r="428" spans="2:6" ht="43.5" customHeight="1" thickBot="1" x14ac:dyDescent="0.3">
      <c r="B428" s="99" t="s">
        <v>29</v>
      </c>
      <c r="C428" s="98"/>
      <c r="D428" s="93"/>
      <c r="E428" s="93"/>
      <c r="F428" s="93"/>
    </row>
    <row r="429" spans="2:6" ht="39" customHeight="1" thickBot="1" x14ac:dyDescent="0.3">
      <c r="B429" s="99" t="s">
        <v>648</v>
      </c>
      <c r="C429" s="98"/>
      <c r="D429" s="93"/>
      <c r="E429" s="93"/>
      <c r="F429" s="93"/>
    </row>
    <row r="430" spans="2:6" ht="15.75" thickBot="1" x14ac:dyDescent="0.3">
      <c r="B430" s="100" t="s">
        <v>30</v>
      </c>
      <c r="C430" s="93">
        <v>200000</v>
      </c>
      <c r="D430" s="93">
        <v>202000</v>
      </c>
      <c r="E430" s="93">
        <v>207000</v>
      </c>
      <c r="F430" s="93">
        <v>206023</v>
      </c>
    </row>
    <row r="431" spans="2:6" ht="39.75" customHeight="1" thickBot="1" x14ac:dyDescent="0.3">
      <c r="B431" s="99" t="s">
        <v>31</v>
      </c>
      <c r="C431" s="98"/>
      <c r="D431" s="93"/>
      <c r="E431" s="93"/>
      <c r="F431" s="93"/>
    </row>
    <row r="432" spans="2:6" ht="30.75" thickBot="1" x14ac:dyDescent="0.3">
      <c r="B432" s="99" t="s">
        <v>647</v>
      </c>
      <c r="C432" s="98"/>
      <c r="D432" s="93"/>
      <c r="E432" s="93"/>
      <c r="F432" s="93"/>
    </row>
    <row r="433" spans="2:6" ht="15.75" thickBot="1" x14ac:dyDescent="0.3">
      <c r="B433" s="100" t="s">
        <v>32</v>
      </c>
      <c r="C433" s="98"/>
      <c r="D433" s="93"/>
      <c r="E433" s="93"/>
      <c r="F433" s="93"/>
    </row>
    <row r="434" spans="2:6" ht="36.75" customHeight="1" thickBot="1" x14ac:dyDescent="0.3">
      <c r="B434" s="99" t="s">
        <v>33</v>
      </c>
      <c r="C434" s="98"/>
      <c r="D434" s="93"/>
      <c r="E434" s="93"/>
      <c r="F434" s="93"/>
    </row>
    <row r="435" spans="2:6" ht="33.75" customHeight="1" thickBot="1" x14ac:dyDescent="0.3">
      <c r="B435" s="99" t="s">
        <v>646</v>
      </c>
      <c r="C435" s="98"/>
      <c r="D435" s="93"/>
      <c r="E435" s="93"/>
      <c r="F435" s="93"/>
    </row>
    <row r="436" spans="2:6" ht="15.75" thickBot="1" x14ac:dyDescent="0.3">
      <c r="B436" s="100" t="s">
        <v>34</v>
      </c>
      <c r="C436" s="98"/>
      <c r="D436" s="93"/>
      <c r="E436" s="93"/>
      <c r="F436" s="93"/>
    </row>
    <row r="437" spans="2:6" ht="39" customHeight="1" thickBot="1" x14ac:dyDescent="0.3">
      <c r="B437" s="99" t="s">
        <v>35</v>
      </c>
      <c r="C437" s="98"/>
      <c r="D437" s="93"/>
      <c r="E437" s="93"/>
      <c r="F437" s="93"/>
    </row>
    <row r="438" spans="2:6" ht="36" customHeight="1" thickBot="1" x14ac:dyDescent="0.3">
      <c r="B438" s="99" t="s">
        <v>645</v>
      </c>
      <c r="C438" s="98"/>
      <c r="D438" s="93"/>
      <c r="E438" s="93"/>
      <c r="F438" s="93"/>
    </row>
    <row r="439" spans="2:6" ht="15.75" thickBot="1" x14ac:dyDescent="0.3">
      <c r="B439" s="100" t="s">
        <v>36</v>
      </c>
      <c r="C439" s="98"/>
      <c r="D439" s="93"/>
      <c r="E439" s="93"/>
      <c r="F439" s="93"/>
    </row>
    <row r="440" spans="2:6" ht="35.25" customHeight="1" thickBot="1" x14ac:dyDescent="0.3">
      <c r="B440" s="99" t="s">
        <v>37</v>
      </c>
      <c r="C440" s="98"/>
      <c r="D440" s="93"/>
      <c r="E440" s="93"/>
      <c r="F440" s="93"/>
    </row>
    <row r="441" spans="2:6" ht="40.5" customHeight="1" thickBot="1" x14ac:dyDescent="0.3">
      <c r="B441" s="99" t="s">
        <v>644</v>
      </c>
      <c r="C441" s="98"/>
      <c r="D441" s="93"/>
      <c r="E441" s="93"/>
      <c r="F441" s="93"/>
    </row>
    <row r="442" spans="2:6" ht="21" customHeight="1" thickBot="1" x14ac:dyDescent="0.3">
      <c r="B442" s="100" t="s">
        <v>38</v>
      </c>
      <c r="C442" s="98"/>
      <c r="D442" s="93"/>
      <c r="E442" s="93"/>
      <c r="F442" s="93"/>
    </row>
    <row r="443" spans="2:6" ht="37.5" customHeight="1" thickBot="1" x14ac:dyDescent="0.3">
      <c r="B443" s="99" t="s">
        <v>39</v>
      </c>
      <c r="C443" s="98"/>
      <c r="D443" s="93"/>
      <c r="E443" s="93"/>
      <c r="F443" s="93"/>
    </row>
    <row r="444" spans="2:6" ht="33" customHeight="1" thickBot="1" x14ac:dyDescent="0.3">
      <c r="B444" s="99" t="s">
        <v>643</v>
      </c>
      <c r="C444" s="98"/>
      <c r="D444" s="93"/>
      <c r="E444" s="93"/>
      <c r="F444" s="93"/>
    </row>
    <row r="445" spans="2:6" ht="15.75" thickBot="1" x14ac:dyDescent="0.3">
      <c r="B445" s="119" t="s">
        <v>40</v>
      </c>
      <c r="C445" s="93">
        <f>C442+C439+C436+C433+C430+C427+C424</f>
        <v>552906</v>
      </c>
      <c r="D445" s="93">
        <f>D442+D439+D436+D433+D430+D427+D424</f>
        <v>556482</v>
      </c>
      <c r="E445" s="93">
        <f>E442+E439+E436+E433+E430+E427+E424</f>
        <v>561482</v>
      </c>
      <c r="F445" s="93">
        <f>F442+F439+F436+F433+F430+F427+F424</f>
        <v>576559</v>
      </c>
    </row>
    <row r="446" spans="2:6" x14ac:dyDescent="0.25">
      <c r="B446" s="815" t="s">
        <v>642</v>
      </c>
      <c r="C446" s="839"/>
      <c r="D446" s="817"/>
      <c r="E446" s="817"/>
      <c r="F446" s="818"/>
    </row>
    <row r="447" spans="2:6" x14ac:dyDescent="0.25">
      <c r="B447" s="816"/>
      <c r="C447" s="840"/>
      <c r="D447" s="819"/>
      <c r="E447" s="819"/>
      <c r="F447" s="820"/>
    </row>
    <row r="448" spans="2:6" ht="5.25" customHeight="1" thickBot="1" x14ac:dyDescent="0.3">
      <c r="B448" s="821"/>
      <c r="C448" s="841"/>
      <c r="D448" s="822"/>
      <c r="E448" s="822"/>
      <c r="F448" s="823"/>
    </row>
    <row r="449" spans="2:6" ht="15.75" thickBot="1" x14ac:dyDescent="0.3">
      <c r="B449" s="96" t="s">
        <v>41</v>
      </c>
      <c r="C449" s="95">
        <f>IF(C445-C416=0,0,"Error")</f>
        <v>0</v>
      </c>
      <c r="D449" s="95">
        <f>IF(D445-D416=0,0,"Error")</f>
        <v>0</v>
      </c>
      <c r="E449" s="95">
        <f>IF(E445-E416=0,0,"Error")</f>
        <v>0</v>
      </c>
      <c r="F449" s="95">
        <f>IF(F445-F416=0,0,"Error")</f>
        <v>0</v>
      </c>
    </row>
    <row r="450" spans="2:6" x14ac:dyDescent="0.25">
      <c r="B450" s="815" t="s">
        <v>62</v>
      </c>
      <c r="C450" s="839"/>
      <c r="D450" s="817"/>
      <c r="E450" s="817"/>
      <c r="F450" s="818"/>
    </row>
    <row r="451" spans="2:6" x14ac:dyDescent="0.25">
      <c r="B451" s="816"/>
      <c r="C451" s="840"/>
      <c r="D451" s="819"/>
      <c r="E451" s="819"/>
      <c r="F451" s="820"/>
    </row>
    <row r="452" spans="2:6" ht="15.75" thickBot="1" x14ac:dyDescent="0.3">
      <c r="B452" s="821"/>
      <c r="C452" s="841"/>
      <c r="D452" s="822"/>
      <c r="E452" s="822"/>
      <c r="F452" s="823"/>
    </row>
    <row r="453" spans="2:6" ht="15.75" thickBot="1" x14ac:dyDescent="0.3">
      <c r="B453" s="833" t="s">
        <v>63</v>
      </c>
      <c r="C453" s="834"/>
      <c r="D453" s="834"/>
      <c r="E453" s="834"/>
      <c r="F453" s="835"/>
    </row>
    <row r="454" spans="2:6" ht="15.75" thickBot="1" x14ac:dyDescent="0.3">
      <c r="B454" s="833" t="s">
        <v>64</v>
      </c>
      <c r="C454" s="834"/>
      <c r="D454" s="834"/>
      <c r="E454" s="834"/>
      <c r="F454" s="835"/>
    </row>
    <row r="455" spans="2:6" ht="15.75" thickBot="1" x14ac:dyDescent="0.3">
      <c r="B455" s="120" t="s">
        <v>61</v>
      </c>
      <c r="C455" s="842" t="s">
        <v>130</v>
      </c>
      <c r="D455" s="843"/>
      <c r="E455" s="843"/>
      <c r="F455" s="844"/>
    </row>
    <row r="456" spans="2:6" ht="15.75" thickBot="1" x14ac:dyDescent="0.3">
      <c r="B456" s="116" t="s">
        <v>16</v>
      </c>
      <c r="C456" s="845" t="s">
        <v>106</v>
      </c>
      <c r="D456" s="846"/>
      <c r="E456" s="846"/>
      <c r="F456" s="847"/>
    </row>
    <row r="457" spans="2:6" ht="15.75" thickBot="1" x14ac:dyDescent="0.3">
      <c r="B457" s="114" t="s">
        <v>17</v>
      </c>
      <c r="C457" s="804" t="s">
        <v>106</v>
      </c>
      <c r="D457" s="805"/>
      <c r="E457" s="805"/>
      <c r="F457" s="806"/>
    </row>
    <row r="458" spans="2:6" ht="15.75" thickBot="1" x14ac:dyDescent="0.3">
      <c r="B458" s="114" t="s">
        <v>18</v>
      </c>
      <c r="C458" s="807" t="s">
        <v>106</v>
      </c>
      <c r="D458" s="808"/>
      <c r="E458" s="808"/>
      <c r="F458" s="809"/>
    </row>
    <row r="459" spans="2:6" x14ac:dyDescent="0.25">
      <c r="B459" s="810"/>
      <c r="C459" s="112">
        <v>2018</v>
      </c>
      <c r="D459" s="112">
        <v>2019</v>
      </c>
      <c r="E459" s="112">
        <v>2020</v>
      </c>
      <c r="F459" s="112">
        <v>2021</v>
      </c>
    </row>
    <row r="460" spans="2:6" ht="15.75" thickBot="1" x14ac:dyDescent="0.3">
      <c r="B460" s="811"/>
      <c r="C460" s="111" t="s">
        <v>10</v>
      </c>
      <c r="D460" s="111" t="s">
        <v>11</v>
      </c>
      <c r="E460" s="111" t="s">
        <v>11</v>
      </c>
      <c r="F460" s="111" t="s">
        <v>11</v>
      </c>
    </row>
    <row r="461" spans="2:6" ht="15.75" thickBot="1" x14ac:dyDescent="0.3">
      <c r="B461" s="114" t="s">
        <v>19</v>
      </c>
      <c r="C461" s="115"/>
      <c r="D461" s="115"/>
      <c r="E461" s="115"/>
      <c r="F461" s="115"/>
    </row>
    <row r="462" spans="2:6" ht="15.75" thickBot="1" x14ac:dyDescent="0.3">
      <c r="B462" s="114" t="s">
        <v>20</v>
      </c>
      <c r="C462" s="115"/>
      <c r="D462" s="115"/>
      <c r="E462" s="115"/>
      <c r="F462" s="115"/>
    </row>
    <row r="463" spans="2:6" ht="15.75" thickBot="1" x14ac:dyDescent="0.3">
      <c r="B463" s="114" t="s">
        <v>21</v>
      </c>
      <c r="C463" s="115" t="e">
        <f>C462/C461</f>
        <v>#DIV/0!</v>
      </c>
      <c r="D463" s="115" t="e">
        <f>D462/D461</f>
        <v>#DIV/0!</v>
      </c>
      <c r="E463" s="115" t="e">
        <f>E462/E461</f>
        <v>#DIV/0!</v>
      </c>
      <c r="F463" s="115" t="e">
        <f>F462/F461</f>
        <v>#DIV/0!</v>
      </c>
    </row>
    <row r="464" spans="2:6" ht="15.75" thickBot="1" x14ac:dyDescent="0.3">
      <c r="B464" s="114" t="s">
        <v>22</v>
      </c>
      <c r="C464" s="148" t="s">
        <v>23</v>
      </c>
      <c r="D464" s="113" t="e">
        <f t="shared" ref="D464:F466" si="46">D461/C461-1</f>
        <v>#DIV/0!</v>
      </c>
      <c r="E464" s="113" t="e">
        <f t="shared" si="46"/>
        <v>#DIV/0!</v>
      </c>
      <c r="F464" s="113" t="e">
        <f t="shared" si="46"/>
        <v>#DIV/0!</v>
      </c>
    </row>
    <row r="465" spans="2:6" ht="15.75" thickBot="1" x14ac:dyDescent="0.3">
      <c r="B465" s="114" t="s">
        <v>24</v>
      </c>
      <c r="C465" s="148" t="s">
        <v>23</v>
      </c>
      <c r="D465" s="113" t="e">
        <f t="shared" si="46"/>
        <v>#DIV/0!</v>
      </c>
      <c r="E465" s="113" t="e">
        <f t="shared" si="46"/>
        <v>#DIV/0!</v>
      </c>
      <c r="F465" s="113" t="e">
        <f t="shared" si="46"/>
        <v>#DIV/0!</v>
      </c>
    </row>
    <row r="466" spans="2:6" ht="15.75" thickBot="1" x14ac:dyDescent="0.3">
      <c r="B466" s="114" t="s">
        <v>25</v>
      </c>
      <c r="C466" s="148" t="s">
        <v>23</v>
      </c>
      <c r="D466" s="113" t="e">
        <f t="shared" si="46"/>
        <v>#DIV/0!</v>
      </c>
      <c r="E466" s="113" t="e">
        <f t="shared" si="46"/>
        <v>#DIV/0!</v>
      </c>
      <c r="F466" s="113" t="e">
        <f t="shared" si="46"/>
        <v>#DIV/0!</v>
      </c>
    </row>
    <row r="467" spans="2:6" ht="15.75" thickBot="1" x14ac:dyDescent="0.3">
      <c r="B467" s="812" t="s">
        <v>630</v>
      </c>
      <c r="C467" s="813"/>
      <c r="D467" s="813"/>
      <c r="E467" s="813"/>
      <c r="F467" s="814"/>
    </row>
    <row r="468" spans="2:6" x14ac:dyDescent="0.25">
      <c r="B468" s="810"/>
      <c r="C468" s="112">
        <v>2018</v>
      </c>
      <c r="D468" s="112">
        <v>2019</v>
      </c>
      <c r="E468" s="112">
        <v>2020</v>
      </c>
      <c r="F468" s="112">
        <v>2021</v>
      </c>
    </row>
    <row r="469" spans="2:6" ht="15.75" thickBot="1" x14ac:dyDescent="0.3">
      <c r="B469" s="811"/>
      <c r="C469" s="111" t="s">
        <v>10</v>
      </c>
      <c r="D469" s="111" t="s">
        <v>11</v>
      </c>
      <c r="E469" s="111" t="s">
        <v>11</v>
      </c>
      <c r="F469" s="111" t="s">
        <v>11</v>
      </c>
    </row>
    <row r="470" spans="2:6" ht="15.75" thickBot="1" x14ac:dyDescent="0.3">
      <c r="B470" s="100" t="s">
        <v>58</v>
      </c>
      <c r="C470" s="93"/>
      <c r="D470" s="93"/>
      <c r="E470" s="93"/>
      <c r="F470" s="93"/>
    </row>
    <row r="471" spans="2:6" ht="15.75" thickBot="1" x14ac:dyDescent="0.3">
      <c r="B471" s="100" t="s">
        <v>59</v>
      </c>
      <c r="C471" s="98"/>
      <c r="D471" s="93"/>
      <c r="E471" s="93"/>
      <c r="F471" s="93"/>
    </row>
    <row r="472" spans="2:6" ht="15.75" thickBot="1" x14ac:dyDescent="0.3">
      <c r="B472" s="119" t="s">
        <v>40</v>
      </c>
      <c r="C472" s="98">
        <f>C471+C470</f>
        <v>0</v>
      </c>
      <c r="D472" s="98">
        <f>D471+D470</f>
        <v>0</v>
      </c>
      <c r="E472" s="98">
        <f>E471+E470</f>
        <v>0</v>
      </c>
      <c r="F472" s="98">
        <f>F471+F470</f>
        <v>0</v>
      </c>
    </row>
    <row r="473" spans="2:6" x14ac:dyDescent="0.25">
      <c r="B473" s="815" t="s">
        <v>60</v>
      </c>
      <c r="C473" s="839"/>
      <c r="D473" s="817"/>
      <c r="E473" s="817"/>
      <c r="F473" s="818"/>
    </row>
    <row r="474" spans="2:6" ht="9.75" customHeight="1" x14ac:dyDescent="0.25">
      <c r="B474" s="816"/>
      <c r="C474" s="840"/>
      <c r="D474" s="819"/>
      <c r="E474" s="819"/>
      <c r="F474" s="820"/>
    </row>
    <row r="475" spans="2:6" ht="9.75" customHeight="1" thickBot="1" x14ac:dyDescent="0.3">
      <c r="B475" s="821"/>
      <c r="C475" s="841"/>
      <c r="D475" s="822"/>
      <c r="E475" s="822"/>
      <c r="F475" s="823"/>
    </row>
    <row r="476" spans="2:6" ht="15.75" thickBot="1" x14ac:dyDescent="0.3">
      <c r="B476" s="120" t="s">
        <v>61</v>
      </c>
      <c r="C476" s="842" t="s">
        <v>130</v>
      </c>
      <c r="D476" s="843"/>
      <c r="E476" s="843"/>
      <c r="F476" s="844"/>
    </row>
    <row r="477" spans="2:6" ht="15.75" thickBot="1" x14ac:dyDescent="0.3">
      <c r="B477" s="116" t="s">
        <v>129</v>
      </c>
      <c r="C477" s="845" t="s">
        <v>106</v>
      </c>
      <c r="D477" s="846"/>
      <c r="E477" s="846"/>
      <c r="F477" s="847"/>
    </row>
    <row r="478" spans="2:6" ht="15.75" thickBot="1" x14ac:dyDescent="0.3">
      <c r="B478" s="114" t="s">
        <v>17</v>
      </c>
      <c r="C478" s="804" t="s">
        <v>106</v>
      </c>
      <c r="D478" s="805"/>
      <c r="E478" s="805"/>
      <c r="F478" s="806"/>
    </row>
    <row r="479" spans="2:6" ht="15.75" thickBot="1" x14ac:dyDescent="0.3">
      <c r="B479" s="114" t="s">
        <v>18</v>
      </c>
      <c r="C479" s="807" t="s">
        <v>106</v>
      </c>
      <c r="D479" s="808"/>
      <c r="E479" s="808"/>
      <c r="F479" s="809"/>
    </row>
    <row r="480" spans="2:6" x14ac:dyDescent="0.25">
      <c r="B480" s="810"/>
      <c r="C480" s="112">
        <v>2018</v>
      </c>
      <c r="D480" s="112">
        <v>2019</v>
      </c>
      <c r="E480" s="112">
        <v>2020</v>
      </c>
      <c r="F480" s="112">
        <v>2021</v>
      </c>
    </row>
    <row r="481" spans="2:6" ht="15.75" thickBot="1" x14ac:dyDescent="0.3">
      <c r="B481" s="811"/>
      <c r="C481" s="111" t="s">
        <v>10</v>
      </c>
      <c r="D481" s="111" t="s">
        <v>11</v>
      </c>
      <c r="E481" s="111" t="s">
        <v>11</v>
      </c>
      <c r="F481" s="111" t="s">
        <v>11</v>
      </c>
    </row>
    <row r="482" spans="2:6" ht="15.75" thickBot="1" x14ac:dyDescent="0.3">
      <c r="B482" s="114" t="s">
        <v>19</v>
      </c>
      <c r="C482" s="115"/>
      <c r="D482" s="115"/>
      <c r="E482" s="115"/>
      <c r="F482" s="115"/>
    </row>
    <row r="483" spans="2:6" ht="15.75" thickBot="1" x14ac:dyDescent="0.3">
      <c r="B483" s="114" t="s">
        <v>20</v>
      </c>
      <c r="C483" s="115"/>
      <c r="D483" s="115"/>
      <c r="E483" s="115"/>
      <c r="F483" s="115"/>
    </row>
    <row r="484" spans="2:6" ht="15.75" thickBot="1" x14ac:dyDescent="0.3">
      <c r="B484" s="114" t="s">
        <v>21</v>
      </c>
      <c r="C484" s="115" t="e">
        <f>C483/C482</f>
        <v>#DIV/0!</v>
      </c>
      <c r="D484" s="115" t="e">
        <f>D483/D482</f>
        <v>#DIV/0!</v>
      </c>
      <c r="E484" s="115" t="e">
        <f>E483/E482</f>
        <v>#DIV/0!</v>
      </c>
      <c r="F484" s="115" t="e">
        <f>F483/F482</f>
        <v>#DIV/0!</v>
      </c>
    </row>
    <row r="485" spans="2:6" ht="15.75" thickBot="1" x14ac:dyDescent="0.3">
      <c r="B485" s="114" t="s">
        <v>22</v>
      </c>
      <c r="C485" s="148" t="s">
        <v>23</v>
      </c>
      <c r="D485" s="113" t="e">
        <f t="shared" ref="D485:F487" si="47">D482/C482-1</f>
        <v>#DIV/0!</v>
      </c>
      <c r="E485" s="113" t="e">
        <f t="shared" si="47"/>
        <v>#DIV/0!</v>
      </c>
      <c r="F485" s="113" t="e">
        <f t="shared" si="47"/>
        <v>#DIV/0!</v>
      </c>
    </row>
    <row r="486" spans="2:6" ht="15.75" thickBot="1" x14ac:dyDescent="0.3">
      <c r="B486" s="114" t="s">
        <v>24</v>
      </c>
      <c r="C486" s="148" t="s">
        <v>23</v>
      </c>
      <c r="D486" s="113" t="e">
        <f t="shared" si="47"/>
        <v>#DIV/0!</v>
      </c>
      <c r="E486" s="113" t="e">
        <f t="shared" si="47"/>
        <v>#DIV/0!</v>
      </c>
      <c r="F486" s="113" t="e">
        <f t="shared" si="47"/>
        <v>#DIV/0!</v>
      </c>
    </row>
    <row r="487" spans="2:6" ht="15.75" thickBot="1" x14ac:dyDescent="0.3">
      <c r="B487" s="114" t="s">
        <v>25</v>
      </c>
      <c r="C487" s="148" t="s">
        <v>23</v>
      </c>
      <c r="D487" s="113" t="e">
        <f t="shared" si="47"/>
        <v>#DIV/0!</v>
      </c>
      <c r="E487" s="113" t="e">
        <f t="shared" si="47"/>
        <v>#DIV/0!</v>
      </c>
      <c r="F487" s="113" t="e">
        <f t="shared" si="47"/>
        <v>#DIV/0!</v>
      </c>
    </row>
    <row r="488" spans="2:6" ht="15.75" thickBot="1" x14ac:dyDescent="0.3">
      <c r="B488" s="812" t="s">
        <v>629</v>
      </c>
      <c r="C488" s="813"/>
      <c r="D488" s="813"/>
      <c r="E488" s="813"/>
      <c r="F488" s="814"/>
    </row>
    <row r="489" spans="2:6" x14ac:dyDescent="0.25">
      <c r="B489" s="810"/>
      <c r="C489" s="112">
        <v>2018</v>
      </c>
      <c r="D489" s="112">
        <v>2019</v>
      </c>
      <c r="E489" s="112">
        <v>2020</v>
      </c>
      <c r="F489" s="112">
        <v>2021</v>
      </c>
    </row>
    <row r="490" spans="2:6" ht="15.75" thickBot="1" x14ac:dyDescent="0.3">
      <c r="B490" s="811"/>
      <c r="C490" s="111" t="s">
        <v>10</v>
      </c>
      <c r="D490" s="111" t="s">
        <v>11</v>
      </c>
      <c r="E490" s="111" t="s">
        <v>11</v>
      </c>
      <c r="F490" s="111" t="s">
        <v>11</v>
      </c>
    </row>
    <row r="491" spans="2:6" ht="15.75" thickBot="1" x14ac:dyDescent="0.3">
      <c r="B491" s="100" t="s">
        <v>58</v>
      </c>
      <c r="C491" s="93"/>
      <c r="D491" s="93"/>
      <c r="E491" s="93"/>
      <c r="F491" s="93"/>
    </row>
    <row r="492" spans="2:6" ht="15.75" thickBot="1" x14ac:dyDescent="0.3">
      <c r="B492" s="100" t="s">
        <v>59</v>
      </c>
      <c r="C492" s="98"/>
      <c r="D492" s="93"/>
      <c r="E492" s="93"/>
      <c r="F492" s="93"/>
    </row>
    <row r="493" spans="2:6" ht="15.75" thickBot="1" x14ac:dyDescent="0.3">
      <c r="B493" s="119" t="s">
        <v>74</v>
      </c>
      <c r="C493" s="98">
        <f>C492+C491</f>
        <v>0</v>
      </c>
      <c r="D493" s="98">
        <f>D492+D491</f>
        <v>0</v>
      </c>
      <c r="E493" s="98">
        <f>E492+E491</f>
        <v>0</v>
      </c>
      <c r="F493" s="98">
        <f>F492+F491</f>
        <v>0</v>
      </c>
    </row>
    <row r="494" spans="2:6" x14ac:dyDescent="0.25">
      <c r="B494" s="815" t="s">
        <v>62</v>
      </c>
      <c r="C494" s="839"/>
      <c r="D494" s="817"/>
      <c r="E494" s="817"/>
      <c r="F494" s="818"/>
    </row>
    <row r="495" spans="2:6" x14ac:dyDescent="0.25">
      <c r="B495" s="816"/>
      <c r="C495" s="840"/>
      <c r="D495" s="819"/>
      <c r="E495" s="819"/>
      <c r="F495" s="820"/>
    </row>
    <row r="496" spans="2:6" ht="15.75" thickBot="1" x14ac:dyDescent="0.3">
      <c r="B496" s="821"/>
      <c r="C496" s="841"/>
      <c r="D496" s="822"/>
      <c r="E496" s="822"/>
      <c r="F496" s="823"/>
    </row>
    <row r="497" spans="2:6" ht="37.5" customHeight="1" thickBot="1" x14ac:dyDescent="0.3">
      <c r="B497" s="360" t="s">
        <v>67</v>
      </c>
      <c r="C497" s="824" t="s">
        <v>641</v>
      </c>
      <c r="D497" s="825"/>
      <c r="E497" s="825"/>
      <c r="F497" s="826"/>
    </row>
    <row r="498" spans="2:6" ht="15.75" thickBot="1" x14ac:dyDescent="0.3">
      <c r="B498" s="804" t="s">
        <v>68</v>
      </c>
      <c r="C498" s="805"/>
      <c r="D498" s="805"/>
      <c r="E498" s="805"/>
      <c r="F498" s="806"/>
    </row>
    <row r="499" spans="2:6" ht="15.75" thickBot="1" x14ac:dyDescent="0.3">
      <c r="B499" s="149" t="s">
        <v>640</v>
      </c>
      <c r="C499" s="117" t="s">
        <v>116</v>
      </c>
      <c r="D499" s="117" t="s">
        <v>117</v>
      </c>
      <c r="E499" s="117" t="s">
        <v>117</v>
      </c>
      <c r="F499" s="117" t="s">
        <v>117</v>
      </c>
    </row>
    <row r="500" spans="2:6" ht="15.75" thickBot="1" x14ac:dyDescent="0.3">
      <c r="B500" s="114" t="s">
        <v>639</v>
      </c>
      <c r="C500" s="117" t="s">
        <v>116</v>
      </c>
      <c r="D500" s="117" t="s">
        <v>117</v>
      </c>
      <c r="E500" s="117" t="s">
        <v>117</v>
      </c>
      <c r="F500" s="117" t="s">
        <v>117</v>
      </c>
    </row>
    <row r="501" spans="2:6" ht="15.75" thickBot="1" x14ac:dyDescent="0.3">
      <c r="B501" s="114" t="s">
        <v>638</v>
      </c>
      <c r="C501" s="117" t="s">
        <v>116</v>
      </c>
      <c r="D501" s="117" t="s">
        <v>117</v>
      </c>
      <c r="E501" s="117" t="s">
        <v>117</v>
      </c>
      <c r="F501" s="117" t="s">
        <v>117</v>
      </c>
    </row>
    <row r="502" spans="2:6" ht="15.75" thickBot="1" x14ac:dyDescent="0.3">
      <c r="B502" s="827" t="s">
        <v>69</v>
      </c>
      <c r="C502" s="828"/>
      <c r="D502" s="828"/>
      <c r="E502" s="828"/>
      <c r="F502" s="829"/>
    </row>
    <row r="503" spans="2:6" ht="15.75" thickBot="1" x14ac:dyDescent="0.3">
      <c r="B503" s="830" t="s">
        <v>70</v>
      </c>
      <c r="C503" s="831"/>
      <c r="D503" s="831"/>
      <c r="E503" s="831"/>
      <c r="F503" s="832"/>
    </row>
    <row r="504" spans="2:6" x14ac:dyDescent="0.25">
      <c r="B504" s="810"/>
      <c r="C504" s="112">
        <v>2018</v>
      </c>
      <c r="D504" s="112">
        <v>2019</v>
      </c>
      <c r="E504" s="112">
        <v>2020</v>
      </c>
      <c r="F504" s="112">
        <v>2021</v>
      </c>
    </row>
    <row r="505" spans="2:6" ht="15.75" thickBot="1" x14ac:dyDescent="0.3">
      <c r="B505" s="811"/>
      <c r="C505" s="111" t="s">
        <v>10</v>
      </c>
      <c r="D505" s="111" t="s">
        <v>11</v>
      </c>
      <c r="E505" s="111" t="s">
        <v>11</v>
      </c>
      <c r="F505" s="111" t="s">
        <v>11</v>
      </c>
    </row>
    <row r="506" spans="2:6" ht="15.75" thickBot="1" x14ac:dyDescent="0.3">
      <c r="B506" s="116" t="s">
        <v>16</v>
      </c>
      <c r="C506" s="833" t="s">
        <v>637</v>
      </c>
      <c r="D506" s="834"/>
      <c r="E506" s="834"/>
      <c r="F506" s="835"/>
    </row>
    <row r="507" spans="2:6" ht="31.5" customHeight="1" thickBot="1" x14ac:dyDescent="0.3">
      <c r="B507" s="114" t="s">
        <v>17</v>
      </c>
      <c r="C507" s="804" t="s">
        <v>636</v>
      </c>
      <c r="D507" s="805"/>
      <c r="E507" s="805"/>
      <c r="F507" s="806"/>
    </row>
    <row r="508" spans="2:6" ht="15.75" thickBot="1" x14ac:dyDescent="0.3">
      <c r="B508" s="114" t="s">
        <v>18</v>
      </c>
      <c r="C508" s="807" t="s">
        <v>635</v>
      </c>
      <c r="D508" s="808"/>
      <c r="E508" s="808"/>
      <c r="F508" s="809"/>
    </row>
    <row r="509" spans="2:6" x14ac:dyDescent="0.25">
      <c r="B509" s="810"/>
      <c r="C509" s="112">
        <v>2018</v>
      </c>
      <c r="D509" s="112">
        <v>2019</v>
      </c>
      <c r="E509" s="112">
        <v>2020</v>
      </c>
      <c r="F509" s="112">
        <v>2021</v>
      </c>
    </row>
    <row r="510" spans="2:6" ht="15.75" thickBot="1" x14ac:dyDescent="0.3">
      <c r="B510" s="811"/>
      <c r="C510" s="111" t="s">
        <v>10</v>
      </c>
      <c r="D510" s="111" t="s">
        <v>11</v>
      </c>
      <c r="E510" s="111" t="s">
        <v>11</v>
      </c>
      <c r="F510" s="111" t="s">
        <v>11</v>
      </c>
    </row>
    <row r="511" spans="2:6" ht="15.75" thickBot="1" x14ac:dyDescent="0.3">
      <c r="B511" s="114" t="s">
        <v>19</v>
      </c>
      <c r="C511" s="115">
        <v>8</v>
      </c>
      <c r="D511" s="110">
        <v>10</v>
      </c>
      <c r="E511" s="110">
        <v>10</v>
      </c>
      <c r="F511" s="110">
        <v>10</v>
      </c>
    </row>
    <row r="512" spans="2:6" ht="15.75" thickBot="1" x14ac:dyDescent="0.3">
      <c r="B512" s="114" t="s">
        <v>20</v>
      </c>
      <c r="C512" s="115">
        <f>C543</f>
        <v>18700</v>
      </c>
      <c r="D512" s="115">
        <f>D543</f>
        <v>21500</v>
      </c>
      <c r="E512" s="115">
        <f>E543</f>
        <v>22022</v>
      </c>
      <c r="F512" s="115">
        <f>F543</f>
        <v>21800</v>
      </c>
    </row>
    <row r="513" spans="2:6" ht="15.75" thickBot="1" x14ac:dyDescent="0.3">
      <c r="B513" s="114" t="s">
        <v>21</v>
      </c>
      <c r="C513" s="115">
        <f>C512/C511</f>
        <v>2337.5</v>
      </c>
      <c r="D513" s="115">
        <f>D512/D511</f>
        <v>2150</v>
      </c>
      <c r="E513" s="115">
        <f>E512/E511</f>
        <v>2202.1999999999998</v>
      </c>
      <c r="F513" s="115">
        <f>F512/F511</f>
        <v>2180</v>
      </c>
    </row>
    <row r="514" spans="2:6" ht="15.75" thickBot="1" x14ac:dyDescent="0.3">
      <c r="B514" s="114" t="s">
        <v>22</v>
      </c>
      <c r="C514" s="148"/>
      <c r="D514" s="113">
        <f t="shared" ref="D514:F516" si="48">D511/C511-1</f>
        <v>0.25</v>
      </c>
      <c r="E514" s="113">
        <f t="shared" si="48"/>
        <v>0</v>
      </c>
      <c r="F514" s="113">
        <f t="shared" si="48"/>
        <v>0</v>
      </c>
    </row>
    <row r="515" spans="2:6" ht="15.75" thickBot="1" x14ac:dyDescent="0.3">
      <c r="B515" s="114" t="s">
        <v>24</v>
      </c>
      <c r="C515" s="148"/>
      <c r="D515" s="113">
        <f t="shared" si="48"/>
        <v>0.14973262032085555</v>
      </c>
      <c r="E515" s="113">
        <f t="shared" si="48"/>
        <v>2.4279069767441763E-2</v>
      </c>
      <c r="F515" s="113">
        <f t="shared" si="48"/>
        <v>-1.0080828262646446E-2</v>
      </c>
    </row>
    <row r="516" spans="2:6" ht="15.75" thickBot="1" x14ac:dyDescent="0.3">
      <c r="B516" s="114" t="s">
        <v>25</v>
      </c>
      <c r="C516" s="148"/>
      <c r="D516" s="113">
        <f t="shared" si="48"/>
        <v>-8.0213903743315496E-2</v>
      </c>
      <c r="E516" s="113">
        <f t="shared" si="48"/>
        <v>2.4279069767441763E-2</v>
      </c>
      <c r="F516" s="113">
        <f t="shared" si="48"/>
        <v>-1.0080828262646335E-2</v>
      </c>
    </row>
    <row r="517" spans="2:6" x14ac:dyDescent="0.25">
      <c r="B517" s="810"/>
      <c r="C517" s="112">
        <v>2018</v>
      </c>
      <c r="D517" s="112">
        <v>2019</v>
      </c>
      <c r="E517" s="112">
        <v>2020</v>
      </c>
      <c r="F517" s="112">
        <v>2021</v>
      </c>
    </row>
    <row r="518" spans="2:6" ht="15.75" thickBot="1" x14ac:dyDescent="0.3">
      <c r="B518" s="811"/>
      <c r="C518" s="111" t="s">
        <v>10</v>
      </c>
      <c r="D518" s="111" t="s">
        <v>11</v>
      </c>
      <c r="E518" s="111" t="s">
        <v>11</v>
      </c>
      <c r="F518" s="111" t="s">
        <v>11</v>
      </c>
    </row>
    <row r="519" spans="2:6" ht="15.75" thickBot="1" x14ac:dyDescent="0.3">
      <c r="B519" s="812" t="s">
        <v>612</v>
      </c>
      <c r="C519" s="813"/>
      <c r="D519" s="813"/>
      <c r="E519" s="813"/>
      <c r="F519" s="814"/>
    </row>
    <row r="520" spans="2:6" x14ac:dyDescent="0.25">
      <c r="B520" s="810"/>
      <c r="C520" s="112">
        <v>2018</v>
      </c>
      <c r="D520" s="112">
        <v>2019</v>
      </c>
      <c r="E520" s="112">
        <v>2020</v>
      </c>
      <c r="F520" s="112">
        <v>2021</v>
      </c>
    </row>
    <row r="521" spans="2:6" ht="15.75" thickBot="1" x14ac:dyDescent="0.3">
      <c r="B521" s="811"/>
      <c r="C521" s="111" t="s">
        <v>10</v>
      </c>
      <c r="D521" s="111" t="s">
        <v>11</v>
      </c>
      <c r="E521" s="111" t="s">
        <v>11</v>
      </c>
      <c r="F521" s="111" t="s">
        <v>11</v>
      </c>
    </row>
    <row r="522" spans="2:6" ht="15.75" thickBot="1" x14ac:dyDescent="0.3">
      <c r="B522" s="100" t="s">
        <v>26</v>
      </c>
      <c r="C522" s="93">
        <v>0</v>
      </c>
      <c r="D522" s="93">
        <v>0</v>
      </c>
      <c r="E522" s="93">
        <v>0</v>
      </c>
      <c r="F522" s="93">
        <v>0</v>
      </c>
    </row>
    <row r="523" spans="2:6" ht="30.75" thickBot="1" x14ac:dyDescent="0.3">
      <c r="B523" s="99" t="s">
        <v>27</v>
      </c>
      <c r="C523" s="98"/>
      <c r="D523" s="97"/>
      <c r="E523" s="97"/>
      <c r="F523" s="97"/>
    </row>
    <row r="524" spans="2:6" ht="30.75" thickBot="1" x14ac:dyDescent="0.3">
      <c r="B524" s="99" t="s">
        <v>45</v>
      </c>
      <c r="C524" s="98"/>
      <c r="D524" s="97"/>
      <c r="E524" s="97"/>
      <c r="F524" s="97"/>
    </row>
    <row r="525" spans="2:6" ht="15.75" thickBot="1" x14ac:dyDescent="0.3">
      <c r="B525" s="100" t="s">
        <v>28</v>
      </c>
      <c r="C525" s="93">
        <v>0</v>
      </c>
      <c r="D525" s="93">
        <v>0</v>
      </c>
      <c r="E525" s="93">
        <v>0</v>
      </c>
      <c r="F525" s="93">
        <v>0</v>
      </c>
    </row>
    <row r="526" spans="2:6" ht="45.75" thickBot="1" x14ac:dyDescent="0.3">
      <c r="B526" s="99" t="s">
        <v>29</v>
      </c>
      <c r="C526" s="98"/>
      <c r="D526" s="93"/>
      <c r="E526" s="93"/>
      <c r="F526" s="93"/>
    </row>
    <row r="527" spans="2:6" ht="37.5" customHeight="1" thickBot="1" x14ac:dyDescent="0.3">
      <c r="B527" s="99" t="s">
        <v>46</v>
      </c>
      <c r="C527" s="98"/>
      <c r="D527" s="93"/>
      <c r="E527" s="93"/>
      <c r="F527" s="93"/>
    </row>
    <row r="528" spans="2:6" ht="15.75" thickBot="1" x14ac:dyDescent="0.3">
      <c r="B528" s="100" t="s">
        <v>30</v>
      </c>
      <c r="C528" s="110">
        <v>3900</v>
      </c>
      <c r="D528" s="110">
        <v>5500</v>
      </c>
      <c r="E528" s="93">
        <v>6022</v>
      </c>
      <c r="F528" s="93">
        <v>5800</v>
      </c>
    </row>
    <row r="529" spans="2:6" ht="30.75" thickBot="1" x14ac:dyDescent="0.3">
      <c r="B529" s="99" t="s">
        <v>31</v>
      </c>
      <c r="C529" s="93"/>
      <c r="D529" s="93"/>
      <c r="E529" s="93"/>
      <c r="F529" s="93"/>
    </row>
    <row r="530" spans="2:6" ht="30.75" thickBot="1" x14ac:dyDescent="0.3">
      <c r="B530" s="99" t="s">
        <v>47</v>
      </c>
      <c r="C530" s="93"/>
      <c r="D530" s="93"/>
      <c r="E530" s="93"/>
      <c r="F530" s="93"/>
    </row>
    <row r="531" spans="2:6" ht="15.75" thickBot="1" x14ac:dyDescent="0.3">
      <c r="B531" s="100" t="s">
        <v>32</v>
      </c>
      <c r="C531" s="93"/>
      <c r="D531" s="93"/>
      <c r="E531" s="93"/>
      <c r="F531" s="93"/>
    </row>
    <row r="532" spans="2:6" ht="30.75" thickBot="1" x14ac:dyDescent="0.3">
      <c r="B532" s="99" t="s">
        <v>33</v>
      </c>
      <c r="C532" s="93"/>
      <c r="D532" s="93"/>
      <c r="E532" s="93"/>
      <c r="F532" s="93"/>
    </row>
    <row r="533" spans="2:6" ht="30.75" thickBot="1" x14ac:dyDescent="0.3">
      <c r="B533" s="99" t="s">
        <v>48</v>
      </c>
      <c r="C533" s="93"/>
      <c r="D533" s="93"/>
      <c r="E533" s="93"/>
      <c r="F533" s="93"/>
    </row>
    <row r="534" spans="2:6" ht="15.75" thickBot="1" x14ac:dyDescent="0.3">
      <c r="B534" s="100" t="s">
        <v>34</v>
      </c>
      <c r="C534" s="93"/>
      <c r="D534" s="93"/>
      <c r="E534" s="93"/>
      <c r="F534" s="93"/>
    </row>
    <row r="535" spans="2:6" ht="30.75" thickBot="1" x14ac:dyDescent="0.3">
      <c r="B535" s="99" t="s">
        <v>35</v>
      </c>
      <c r="C535" s="93"/>
      <c r="D535" s="93"/>
      <c r="E535" s="93"/>
      <c r="F535" s="93"/>
    </row>
    <row r="536" spans="2:6" ht="30.75" thickBot="1" x14ac:dyDescent="0.3">
      <c r="B536" s="99" t="s">
        <v>49</v>
      </c>
      <c r="C536" s="93"/>
      <c r="D536" s="93"/>
      <c r="E536" s="93"/>
      <c r="F536" s="93"/>
    </row>
    <row r="537" spans="2:6" ht="15.75" thickBot="1" x14ac:dyDescent="0.3">
      <c r="B537" s="100" t="s">
        <v>36</v>
      </c>
      <c r="C537" s="93">
        <v>14800</v>
      </c>
      <c r="D537" s="93">
        <v>16000</v>
      </c>
      <c r="E537" s="93">
        <v>16000</v>
      </c>
      <c r="F537" s="93">
        <v>16000</v>
      </c>
    </row>
    <row r="538" spans="2:6" ht="30.75" thickBot="1" x14ac:dyDescent="0.3">
      <c r="B538" s="99" t="s">
        <v>37</v>
      </c>
      <c r="C538" s="98"/>
      <c r="D538" s="93"/>
      <c r="E538" s="93"/>
      <c r="F538" s="93"/>
    </row>
    <row r="539" spans="2:6" ht="30.75" thickBot="1" x14ac:dyDescent="0.3">
      <c r="B539" s="99" t="s">
        <v>50</v>
      </c>
      <c r="C539" s="98"/>
      <c r="D539" s="93"/>
      <c r="E539" s="93"/>
      <c r="F539" s="93"/>
    </row>
    <row r="540" spans="2:6" ht="15.75" thickBot="1" x14ac:dyDescent="0.3">
      <c r="B540" s="100" t="s">
        <v>38</v>
      </c>
      <c r="C540" s="98"/>
      <c r="D540" s="93"/>
      <c r="E540" s="93"/>
      <c r="F540" s="93"/>
    </row>
    <row r="541" spans="2:6" ht="45.75" thickBot="1" x14ac:dyDescent="0.3">
      <c r="B541" s="99" t="s">
        <v>39</v>
      </c>
      <c r="C541" s="98"/>
      <c r="D541" s="93"/>
      <c r="E541" s="93"/>
      <c r="F541" s="93"/>
    </row>
    <row r="542" spans="2:6" ht="45.75" thickBot="1" x14ac:dyDescent="0.3">
      <c r="B542" s="99" t="s">
        <v>51</v>
      </c>
      <c r="C542" s="98"/>
      <c r="D542" s="93"/>
      <c r="E542" s="93"/>
      <c r="F542" s="93"/>
    </row>
    <row r="543" spans="2:6" ht="29.25" thickBot="1" x14ac:dyDescent="0.3">
      <c r="B543" s="109" t="s">
        <v>71</v>
      </c>
      <c r="C543" s="108">
        <f>C540+C537+C534+C531+C528+C525+C522</f>
        <v>18700</v>
      </c>
      <c r="D543" s="108">
        <f>D540+D537+D534+D531+D528+D525+D522</f>
        <v>21500</v>
      </c>
      <c r="E543" s="108">
        <f>E540+E537+E534+E531+E528+E525+E522</f>
        <v>22022</v>
      </c>
      <c r="F543" s="108">
        <f>F540+F537+F534+F531+F528+F525+F522</f>
        <v>21800</v>
      </c>
    </row>
    <row r="544" spans="2:6" x14ac:dyDescent="0.25">
      <c r="B544" s="815" t="s">
        <v>119</v>
      </c>
      <c r="C544" s="817" t="s">
        <v>23</v>
      </c>
      <c r="D544" s="817"/>
      <c r="E544" s="817"/>
      <c r="F544" s="818"/>
    </row>
    <row r="545" spans="2:6" x14ac:dyDescent="0.25">
      <c r="B545" s="816"/>
      <c r="C545" s="819"/>
      <c r="D545" s="819"/>
      <c r="E545" s="819"/>
      <c r="F545" s="820"/>
    </row>
    <row r="546" spans="2:6" ht="15.75" thickBot="1" x14ac:dyDescent="0.3">
      <c r="B546" s="821"/>
      <c r="C546" s="822"/>
      <c r="D546" s="822"/>
      <c r="E546" s="822"/>
      <c r="F546" s="823"/>
    </row>
    <row r="547" spans="2:6" ht="15.75" thickBot="1" x14ac:dyDescent="0.3">
      <c r="B547" s="96" t="s">
        <v>41</v>
      </c>
      <c r="C547" s="95">
        <f>IF(C543-C512=0,0,"Error")</f>
        <v>0</v>
      </c>
      <c r="D547" s="95">
        <f>IF(D543-D512=0,0,"Error")</f>
        <v>0</v>
      </c>
      <c r="E547" s="95">
        <f>IF(E543-E512=0,0,"Error")</f>
        <v>0</v>
      </c>
      <c r="F547" s="95">
        <f>IF(F543-F512=0,0,"Error")</f>
        <v>0</v>
      </c>
    </row>
    <row r="548" spans="2:6" ht="15.75" thickBot="1" x14ac:dyDescent="0.3">
      <c r="B548" s="122" t="s">
        <v>42</v>
      </c>
      <c r="C548" s="833" t="s">
        <v>634</v>
      </c>
      <c r="D548" s="834"/>
      <c r="E548" s="834"/>
      <c r="F548" s="835"/>
    </row>
    <row r="549" spans="2:6" ht="34.5" customHeight="1" thickBot="1" x14ac:dyDescent="0.3">
      <c r="B549" s="114" t="s">
        <v>17</v>
      </c>
      <c r="C549" s="848" t="s">
        <v>633</v>
      </c>
      <c r="D549" s="849"/>
      <c r="E549" s="849"/>
      <c r="F549" s="850"/>
    </row>
    <row r="550" spans="2:6" ht="15.75" thickBot="1" x14ac:dyDescent="0.3">
      <c r="B550" s="114" t="s">
        <v>18</v>
      </c>
      <c r="C550" s="807" t="s">
        <v>632</v>
      </c>
      <c r="D550" s="808"/>
      <c r="E550" s="808"/>
      <c r="F550" s="809"/>
    </row>
    <row r="551" spans="2:6" x14ac:dyDescent="0.25">
      <c r="B551" s="810"/>
      <c r="C551" s="112">
        <v>2018</v>
      </c>
      <c r="D551" s="112">
        <v>2019</v>
      </c>
      <c r="E551" s="112">
        <v>2020</v>
      </c>
      <c r="F551" s="112">
        <v>2021</v>
      </c>
    </row>
    <row r="552" spans="2:6" ht="15.75" thickBot="1" x14ac:dyDescent="0.3">
      <c r="B552" s="811"/>
      <c r="C552" s="111" t="s">
        <v>10</v>
      </c>
      <c r="D552" s="111" t="s">
        <v>11</v>
      </c>
      <c r="E552" s="111" t="s">
        <v>11</v>
      </c>
      <c r="F552" s="111" t="s">
        <v>11</v>
      </c>
    </row>
    <row r="553" spans="2:6" ht="15.75" thickBot="1" x14ac:dyDescent="0.3">
      <c r="B553" s="114" t="s">
        <v>19</v>
      </c>
      <c r="C553" s="115"/>
      <c r="D553" s="115"/>
      <c r="E553" s="115"/>
      <c r="F553" s="115"/>
    </row>
    <row r="554" spans="2:6" ht="15.75" thickBot="1" x14ac:dyDescent="0.3">
      <c r="B554" s="114" t="s">
        <v>20</v>
      </c>
      <c r="C554" s="115">
        <f>C583</f>
        <v>77000</v>
      </c>
      <c r="D554" s="115">
        <f>D583</f>
        <v>80100</v>
      </c>
      <c r="E554" s="115">
        <f>E583</f>
        <v>80700</v>
      </c>
      <c r="F554" s="115">
        <f>F583</f>
        <v>80000</v>
      </c>
    </row>
    <row r="555" spans="2:6" ht="15.75" thickBot="1" x14ac:dyDescent="0.3">
      <c r="B555" s="114" t="s">
        <v>21</v>
      </c>
      <c r="C555" s="115" t="e">
        <f>C554/C553</f>
        <v>#DIV/0!</v>
      </c>
      <c r="D555" s="115" t="e">
        <f>D554/D553</f>
        <v>#DIV/0!</v>
      </c>
      <c r="E555" s="115" t="e">
        <f>E554/E553</f>
        <v>#DIV/0!</v>
      </c>
      <c r="F555" s="115" t="e">
        <f>F554/F553</f>
        <v>#DIV/0!</v>
      </c>
    </row>
    <row r="556" spans="2:6" ht="15.75" thickBot="1" x14ac:dyDescent="0.3">
      <c r="B556" s="114" t="s">
        <v>22</v>
      </c>
      <c r="C556" s="148"/>
      <c r="D556" s="113" t="e">
        <f t="shared" ref="D556:F558" si="49">D553/C553-1</f>
        <v>#DIV/0!</v>
      </c>
      <c r="E556" s="113" t="e">
        <f t="shared" si="49"/>
        <v>#DIV/0!</v>
      </c>
      <c r="F556" s="113" t="e">
        <f t="shared" si="49"/>
        <v>#DIV/0!</v>
      </c>
    </row>
    <row r="557" spans="2:6" ht="15.75" thickBot="1" x14ac:dyDescent="0.3">
      <c r="B557" s="114" t="s">
        <v>24</v>
      </c>
      <c r="C557" s="148"/>
      <c r="D557" s="113">
        <f t="shared" si="49"/>
        <v>4.0259740259740218E-2</v>
      </c>
      <c r="E557" s="113">
        <f t="shared" si="49"/>
        <v>7.4906367041198685E-3</v>
      </c>
      <c r="F557" s="113">
        <f t="shared" si="49"/>
        <v>-8.6741016109045388E-3</v>
      </c>
    </row>
    <row r="558" spans="2:6" ht="15.75" thickBot="1" x14ac:dyDescent="0.3">
      <c r="B558" s="114" t="s">
        <v>25</v>
      </c>
      <c r="C558" s="148"/>
      <c r="D558" s="113" t="e">
        <f t="shared" si="49"/>
        <v>#DIV/0!</v>
      </c>
      <c r="E558" s="113" t="e">
        <f t="shared" si="49"/>
        <v>#DIV/0!</v>
      </c>
      <c r="F558" s="113" t="e">
        <f t="shared" si="49"/>
        <v>#DIV/0!</v>
      </c>
    </row>
    <row r="559" spans="2:6" ht="15.75" thickBot="1" x14ac:dyDescent="0.3">
      <c r="B559" s="812" t="s">
        <v>631</v>
      </c>
      <c r="C559" s="813"/>
      <c r="D559" s="813"/>
      <c r="E559" s="813"/>
      <c r="F559" s="814"/>
    </row>
    <row r="560" spans="2:6" x14ac:dyDescent="0.25">
      <c r="B560" s="810"/>
      <c r="C560" s="112">
        <v>2018</v>
      </c>
      <c r="D560" s="112">
        <v>2019</v>
      </c>
      <c r="E560" s="112">
        <v>2020</v>
      </c>
      <c r="F560" s="112">
        <v>2021</v>
      </c>
    </row>
    <row r="561" spans="2:6" ht="15.75" thickBot="1" x14ac:dyDescent="0.3">
      <c r="B561" s="811"/>
      <c r="C561" s="111" t="s">
        <v>10</v>
      </c>
      <c r="D561" s="111" t="s">
        <v>11</v>
      </c>
      <c r="E561" s="111" t="s">
        <v>11</v>
      </c>
      <c r="F561" s="111" t="s">
        <v>11</v>
      </c>
    </row>
    <row r="562" spans="2:6" ht="15.75" thickBot="1" x14ac:dyDescent="0.3">
      <c r="B562" s="100" t="s">
        <v>26</v>
      </c>
      <c r="C562" s="93">
        <v>0</v>
      </c>
      <c r="D562" s="93">
        <v>0</v>
      </c>
      <c r="E562" s="93">
        <v>0</v>
      </c>
      <c r="F562" s="93">
        <v>0</v>
      </c>
    </row>
    <row r="563" spans="2:6" ht="30.75" thickBot="1" x14ac:dyDescent="0.3">
      <c r="B563" s="99" t="s">
        <v>27</v>
      </c>
      <c r="C563" s="98"/>
      <c r="D563" s="97"/>
      <c r="E563" s="97"/>
      <c r="F563" s="97"/>
    </row>
    <row r="564" spans="2:6" ht="30.75" thickBot="1" x14ac:dyDescent="0.3">
      <c r="B564" s="99" t="s">
        <v>45</v>
      </c>
      <c r="C564" s="98"/>
      <c r="D564" s="97"/>
      <c r="E564" s="97"/>
      <c r="F564" s="97"/>
    </row>
    <row r="565" spans="2:6" ht="15.75" thickBot="1" x14ac:dyDescent="0.3">
      <c r="B565" s="100" t="s">
        <v>28</v>
      </c>
      <c r="C565" s="93">
        <v>0</v>
      </c>
      <c r="D565" s="93">
        <v>0</v>
      </c>
      <c r="E565" s="93">
        <v>0</v>
      </c>
      <c r="F565" s="93">
        <v>0</v>
      </c>
    </row>
    <row r="566" spans="2:6" ht="45.75" thickBot="1" x14ac:dyDescent="0.3">
      <c r="B566" s="99" t="s">
        <v>29</v>
      </c>
      <c r="C566" s="98"/>
      <c r="D566" s="93"/>
      <c r="E566" s="93"/>
      <c r="F566" s="93"/>
    </row>
    <row r="567" spans="2:6" ht="45.75" thickBot="1" x14ac:dyDescent="0.3">
      <c r="B567" s="99" t="s">
        <v>46</v>
      </c>
      <c r="C567" s="98"/>
      <c r="D567" s="93"/>
      <c r="E567" s="93"/>
      <c r="F567" s="93"/>
    </row>
    <row r="568" spans="2:6" ht="15.75" thickBot="1" x14ac:dyDescent="0.3">
      <c r="B568" s="100" t="s">
        <v>30</v>
      </c>
      <c r="C568" s="110">
        <v>77000</v>
      </c>
      <c r="D568" s="110">
        <v>80100</v>
      </c>
      <c r="E568" s="110">
        <v>80700</v>
      </c>
      <c r="F568" s="110">
        <v>80000</v>
      </c>
    </row>
    <row r="569" spans="2:6" ht="30.75" thickBot="1" x14ac:dyDescent="0.3">
      <c r="B569" s="99" t="s">
        <v>31</v>
      </c>
      <c r="C569" s="98"/>
      <c r="D569" s="93"/>
      <c r="E569" s="93"/>
      <c r="F569" s="93"/>
    </row>
    <row r="570" spans="2:6" ht="30.75" thickBot="1" x14ac:dyDescent="0.3">
      <c r="B570" s="99" t="s">
        <v>47</v>
      </c>
      <c r="C570" s="98"/>
      <c r="D570" s="93"/>
      <c r="E570" s="93"/>
      <c r="F570" s="93"/>
    </row>
    <row r="571" spans="2:6" ht="15.75" thickBot="1" x14ac:dyDescent="0.3">
      <c r="B571" s="100" t="s">
        <v>32</v>
      </c>
      <c r="C571" s="98"/>
      <c r="D571" s="93"/>
      <c r="E571" s="93"/>
      <c r="F571" s="93"/>
    </row>
    <row r="572" spans="2:6" ht="30.75" thickBot="1" x14ac:dyDescent="0.3">
      <c r="B572" s="99" t="s">
        <v>33</v>
      </c>
      <c r="C572" s="98"/>
      <c r="D572" s="93"/>
      <c r="E572" s="93"/>
      <c r="F572" s="93"/>
    </row>
    <row r="573" spans="2:6" ht="30.75" thickBot="1" x14ac:dyDescent="0.3">
      <c r="B573" s="99" t="s">
        <v>48</v>
      </c>
      <c r="C573" s="98"/>
      <c r="D573" s="93"/>
      <c r="E573" s="93"/>
      <c r="F573" s="93"/>
    </row>
    <row r="574" spans="2:6" ht="15.75" thickBot="1" x14ac:dyDescent="0.3">
      <c r="B574" s="100" t="s">
        <v>34</v>
      </c>
      <c r="C574" s="98"/>
      <c r="D574" s="93"/>
      <c r="E574" s="93"/>
      <c r="F574" s="93"/>
    </row>
    <row r="575" spans="2:6" ht="30.75" thickBot="1" x14ac:dyDescent="0.3">
      <c r="B575" s="99" t="s">
        <v>35</v>
      </c>
      <c r="C575" s="98"/>
      <c r="D575" s="93"/>
      <c r="E575" s="93"/>
      <c r="F575" s="93"/>
    </row>
    <row r="576" spans="2:6" ht="30.75" thickBot="1" x14ac:dyDescent="0.3">
      <c r="B576" s="99" t="s">
        <v>49</v>
      </c>
      <c r="C576" s="98"/>
      <c r="D576" s="93"/>
      <c r="E576" s="93"/>
      <c r="F576" s="93"/>
    </row>
    <row r="577" spans="2:6" ht="15.75" thickBot="1" x14ac:dyDescent="0.3">
      <c r="B577" s="100" t="s">
        <v>36</v>
      </c>
      <c r="C577" s="98"/>
      <c r="D577" s="93"/>
      <c r="E577" s="93"/>
      <c r="F577" s="93"/>
    </row>
    <row r="578" spans="2:6" ht="30.75" thickBot="1" x14ac:dyDescent="0.3">
      <c r="B578" s="99" t="s">
        <v>37</v>
      </c>
      <c r="C578" s="98"/>
      <c r="D578" s="93"/>
      <c r="E578" s="93"/>
      <c r="F578" s="93"/>
    </row>
    <row r="579" spans="2:6" ht="30.75" thickBot="1" x14ac:dyDescent="0.3">
      <c r="B579" s="99" t="s">
        <v>50</v>
      </c>
      <c r="C579" s="98"/>
      <c r="D579" s="93"/>
      <c r="E579" s="93"/>
      <c r="F579" s="93"/>
    </row>
    <row r="580" spans="2:6" ht="15.75" thickBot="1" x14ac:dyDescent="0.3">
      <c r="B580" s="100" t="s">
        <v>38</v>
      </c>
      <c r="C580" s="98"/>
      <c r="D580" s="93"/>
      <c r="E580" s="93"/>
      <c r="F580" s="93"/>
    </row>
    <row r="581" spans="2:6" ht="45.75" thickBot="1" x14ac:dyDescent="0.3">
      <c r="B581" s="99" t="s">
        <v>39</v>
      </c>
      <c r="C581" s="98"/>
      <c r="D581" s="93"/>
      <c r="E581" s="93"/>
      <c r="F581" s="93"/>
    </row>
    <row r="582" spans="2:6" ht="45.75" thickBot="1" x14ac:dyDescent="0.3">
      <c r="B582" s="99" t="s">
        <v>51</v>
      </c>
      <c r="C582" s="98"/>
      <c r="D582" s="93"/>
      <c r="E582" s="93"/>
      <c r="F582" s="93"/>
    </row>
    <row r="583" spans="2:6" ht="29.25" thickBot="1" x14ac:dyDescent="0.3">
      <c r="B583" s="109" t="s">
        <v>71</v>
      </c>
      <c r="C583" s="121">
        <f>C580+C574+C577+C571+C568+C565+C562</f>
        <v>77000</v>
      </c>
      <c r="D583" s="121">
        <f>D580+D574+D577+D571+D568+D565+D562</f>
        <v>80100</v>
      </c>
      <c r="E583" s="121">
        <f>E580+E574+E577+E571+E568+E565+E562</f>
        <v>80700</v>
      </c>
      <c r="F583" s="121">
        <f>F580+F574+F577+F571+F568+F565+F562</f>
        <v>80000</v>
      </c>
    </row>
    <row r="584" spans="2:6" x14ac:dyDescent="0.25">
      <c r="B584" s="815" t="s">
        <v>120</v>
      </c>
      <c r="C584" s="817"/>
      <c r="D584" s="817"/>
      <c r="E584" s="817"/>
      <c r="F584" s="818"/>
    </row>
    <row r="585" spans="2:6" x14ac:dyDescent="0.25">
      <c r="B585" s="816"/>
      <c r="C585" s="819"/>
      <c r="D585" s="819"/>
      <c r="E585" s="819"/>
      <c r="F585" s="820"/>
    </row>
    <row r="586" spans="2:6" ht="15.75" thickBot="1" x14ac:dyDescent="0.3">
      <c r="B586" s="821"/>
      <c r="C586" s="822"/>
      <c r="D586" s="822"/>
      <c r="E586" s="822"/>
      <c r="F586" s="823"/>
    </row>
    <row r="587" spans="2:6" ht="15.75" thickBot="1" x14ac:dyDescent="0.3">
      <c r="B587" s="96" t="s">
        <v>41</v>
      </c>
      <c r="C587" s="95">
        <f>IF(C583-C554=0,0,"Error")</f>
        <v>0</v>
      </c>
      <c r="D587" s="95">
        <f>IF(D583-D554=0,0,"Error")</f>
        <v>0</v>
      </c>
      <c r="E587" s="95">
        <f>IF(E583-E554=0,0,"Error")</f>
        <v>0</v>
      </c>
      <c r="F587" s="95">
        <f>IF(F583-F554=0,0,"Error")</f>
        <v>0</v>
      </c>
    </row>
    <row r="588" spans="2:6" ht="15.75" thickBot="1" x14ac:dyDescent="0.3">
      <c r="B588" s="833" t="s">
        <v>63</v>
      </c>
      <c r="C588" s="834"/>
      <c r="D588" s="834"/>
      <c r="E588" s="834"/>
      <c r="F588" s="835"/>
    </row>
    <row r="589" spans="2:6" ht="15.75" thickBot="1" x14ac:dyDescent="0.3">
      <c r="B589" s="833" t="s">
        <v>56</v>
      </c>
      <c r="C589" s="834"/>
      <c r="D589" s="834"/>
      <c r="E589" s="834"/>
      <c r="F589" s="835"/>
    </row>
    <row r="590" spans="2:6" ht="15.75" thickBot="1" x14ac:dyDescent="0.3">
      <c r="B590" s="120" t="s">
        <v>61</v>
      </c>
      <c r="C590" s="842" t="s">
        <v>130</v>
      </c>
      <c r="D590" s="843"/>
      <c r="E590" s="843"/>
      <c r="F590" s="844"/>
    </row>
    <row r="591" spans="2:6" ht="15.75" thickBot="1" x14ac:dyDescent="0.3">
      <c r="B591" s="116" t="s">
        <v>16</v>
      </c>
      <c r="C591" s="845" t="s">
        <v>106</v>
      </c>
      <c r="D591" s="846"/>
      <c r="E591" s="846"/>
      <c r="F591" s="847"/>
    </row>
    <row r="592" spans="2:6" ht="15.75" thickBot="1" x14ac:dyDescent="0.3">
      <c r="B592" s="114" t="s">
        <v>17</v>
      </c>
      <c r="C592" s="804" t="s">
        <v>106</v>
      </c>
      <c r="D592" s="805"/>
      <c r="E592" s="805"/>
      <c r="F592" s="806"/>
    </row>
    <row r="593" spans="2:6" ht="15.75" thickBot="1" x14ac:dyDescent="0.3">
      <c r="B593" s="114" t="s">
        <v>18</v>
      </c>
      <c r="C593" s="807" t="s">
        <v>106</v>
      </c>
      <c r="D593" s="808"/>
      <c r="E593" s="808"/>
      <c r="F593" s="809"/>
    </row>
    <row r="594" spans="2:6" x14ac:dyDescent="0.25">
      <c r="B594" s="810"/>
      <c r="C594" s="112">
        <v>2018</v>
      </c>
      <c r="D594" s="112">
        <v>2019</v>
      </c>
      <c r="E594" s="112">
        <v>2020</v>
      </c>
      <c r="F594" s="112">
        <v>2021</v>
      </c>
    </row>
    <row r="595" spans="2:6" ht="15.75" thickBot="1" x14ac:dyDescent="0.3">
      <c r="B595" s="811"/>
      <c r="C595" s="111" t="s">
        <v>10</v>
      </c>
      <c r="D595" s="111" t="s">
        <v>11</v>
      </c>
      <c r="E595" s="111" t="s">
        <v>11</v>
      </c>
      <c r="F595" s="111" t="s">
        <v>11</v>
      </c>
    </row>
    <row r="596" spans="2:6" ht="15.75" thickBot="1" x14ac:dyDescent="0.3">
      <c r="B596" s="114" t="s">
        <v>19</v>
      </c>
      <c r="C596" s="115"/>
      <c r="D596" s="115"/>
      <c r="E596" s="115"/>
      <c r="F596" s="115"/>
    </row>
    <row r="597" spans="2:6" ht="15.75" thickBot="1" x14ac:dyDescent="0.3">
      <c r="B597" s="114" t="s">
        <v>20</v>
      </c>
      <c r="C597" s="115"/>
      <c r="D597" s="115"/>
      <c r="E597" s="115"/>
      <c r="F597" s="115"/>
    </row>
    <row r="598" spans="2:6" ht="15.75" thickBot="1" x14ac:dyDescent="0.3">
      <c r="B598" s="114" t="s">
        <v>21</v>
      </c>
      <c r="C598" s="115" t="e">
        <f>C597/C596</f>
        <v>#DIV/0!</v>
      </c>
      <c r="D598" s="115" t="e">
        <f>D597/D596</f>
        <v>#DIV/0!</v>
      </c>
      <c r="E598" s="115" t="e">
        <f>E597/E596</f>
        <v>#DIV/0!</v>
      </c>
      <c r="F598" s="115" t="e">
        <f>F597/F596</f>
        <v>#DIV/0!</v>
      </c>
    </row>
    <row r="599" spans="2:6" ht="15.75" thickBot="1" x14ac:dyDescent="0.3">
      <c r="B599" s="114" t="s">
        <v>22</v>
      </c>
      <c r="C599" s="148" t="s">
        <v>23</v>
      </c>
      <c r="D599" s="113" t="e">
        <f t="shared" ref="D599:F601" si="50">D596/C596-1</f>
        <v>#DIV/0!</v>
      </c>
      <c r="E599" s="113" t="e">
        <f t="shared" si="50"/>
        <v>#DIV/0!</v>
      </c>
      <c r="F599" s="113" t="e">
        <f t="shared" si="50"/>
        <v>#DIV/0!</v>
      </c>
    </row>
    <row r="600" spans="2:6" ht="15.75" thickBot="1" x14ac:dyDescent="0.3">
      <c r="B600" s="114" t="s">
        <v>24</v>
      </c>
      <c r="C600" s="148" t="s">
        <v>23</v>
      </c>
      <c r="D600" s="113" t="e">
        <f t="shared" si="50"/>
        <v>#DIV/0!</v>
      </c>
      <c r="E600" s="113" t="e">
        <f t="shared" si="50"/>
        <v>#DIV/0!</v>
      </c>
      <c r="F600" s="113" t="e">
        <f t="shared" si="50"/>
        <v>#DIV/0!</v>
      </c>
    </row>
    <row r="601" spans="2:6" ht="15.75" thickBot="1" x14ac:dyDescent="0.3">
      <c r="B601" s="114" t="s">
        <v>25</v>
      </c>
      <c r="C601" s="148" t="s">
        <v>23</v>
      </c>
      <c r="D601" s="113" t="e">
        <f t="shared" si="50"/>
        <v>#DIV/0!</v>
      </c>
      <c r="E601" s="113" t="e">
        <f t="shared" si="50"/>
        <v>#DIV/0!</v>
      </c>
      <c r="F601" s="113" t="e">
        <f t="shared" si="50"/>
        <v>#DIV/0!</v>
      </c>
    </row>
    <row r="602" spans="2:6" ht="15.75" thickBot="1" x14ac:dyDescent="0.3">
      <c r="B602" s="812" t="s">
        <v>630</v>
      </c>
      <c r="C602" s="813"/>
      <c r="D602" s="813"/>
      <c r="E602" s="813"/>
      <c r="F602" s="814"/>
    </row>
    <row r="603" spans="2:6" x14ac:dyDescent="0.25">
      <c r="B603" s="810"/>
      <c r="C603" s="112">
        <v>2018</v>
      </c>
      <c r="D603" s="112">
        <v>2019</v>
      </c>
      <c r="E603" s="112">
        <v>2020</v>
      </c>
      <c r="F603" s="112">
        <v>2021</v>
      </c>
    </row>
    <row r="604" spans="2:6" ht="15.75" thickBot="1" x14ac:dyDescent="0.3">
      <c r="B604" s="811"/>
      <c r="C604" s="111" t="s">
        <v>10</v>
      </c>
      <c r="D604" s="111" t="s">
        <v>11</v>
      </c>
      <c r="E604" s="111" t="s">
        <v>11</v>
      </c>
      <c r="F604" s="111" t="s">
        <v>11</v>
      </c>
    </row>
    <row r="605" spans="2:6" ht="15.75" thickBot="1" x14ac:dyDescent="0.3">
      <c r="B605" s="100" t="s">
        <v>58</v>
      </c>
      <c r="C605" s="93"/>
      <c r="D605" s="93"/>
      <c r="E605" s="93"/>
      <c r="F605" s="93"/>
    </row>
    <row r="606" spans="2:6" ht="15.75" thickBot="1" x14ac:dyDescent="0.3">
      <c r="B606" s="100" t="s">
        <v>59</v>
      </c>
      <c r="C606" s="98"/>
      <c r="D606" s="93"/>
      <c r="E606" s="93"/>
      <c r="F606" s="93"/>
    </row>
    <row r="607" spans="2:6" ht="15.75" thickBot="1" x14ac:dyDescent="0.3">
      <c r="B607" s="119" t="s">
        <v>40</v>
      </c>
      <c r="C607" s="98">
        <f>C606+C605</f>
        <v>0</v>
      </c>
      <c r="D607" s="98">
        <f>D606+D605</f>
        <v>0</v>
      </c>
      <c r="E607" s="98">
        <f>E606+E605</f>
        <v>0</v>
      </c>
      <c r="F607" s="98">
        <f>F606+F605</f>
        <v>0</v>
      </c>
    </row>
    <row r="608" spans="2:6" x14ac:dyDescent="0.25">
      <c r="B608" s="815" t="s">
        <v>60</v>
      </c>
      <c r="C608" s="839"/>
      <c r="D608" s="817"/>
      <c r="E608" s="817"/>
      <c r="F608" s="818"/>
    </row>
    <row r="609" spans="2:6" x14ac:dyDescent="0.25">
      <c r="B609" s="816"/>
      <c r="C609" s="840"/>
      <c r="D609" s="819"/>
      <c r="E609" s="819"/>
      <c r="F609" s="820"/>
    </row>
    <row r="610" spans="2:6" ht="15.75" thickBot="1" x14ac:dyDescent="0.3">
      <c r="B610" s="821"/>
      <c r="C610" s="841"/>
      <c r="D610" s="822"/>
      <c r="E610" s="822"/>
      <c r="F610" s="823"/>
    </row>
    <row r="611" spans="2:6" ht="15.75" thickBot="1" x14ac:dyDescent="0.3">
      <c r="B611" s="120" t="s">
        <v>61</v>
      </c>
      <c r="C611" s="842" t="s">
        <v>130</v>
      </c>
      <c r="D611" s="843"/>
      <c r="E611" s="843"/>
      <c r="F611" s="844"/>
    </row>
    <row r="612" spans="2:6" ht="15.75" thickBot="1" x14ac:dyDescent="0.3">
      <c r="B612" s="116" t="s">
        <v>129</v>
      </c>
      <c r="C612" s="845" t="s">
        <v>106</v>
      </c>
      <c r="D612" s="846"/>
      <c r="E612" s="846"/>
      <c r="F612" s="847"/>
    </row>
    <row r="613" spans="2:6" ht="15.75" thickBot="1" x14ac:dyDescent="0.3">
      <c r="B613" s="114" t="s">
        <v>17</v>
      </c>
      <c r="C613" s="804" t="s">
        <v>106</v>
      </c>
      <c r="D613" s="805"/>
      <c r="E613" s="805"/>
      <c r="F613" s="806"/>
    </row>
    <row r="614" spans="2:6" ht="15.75" thickBot="1" x14ac:dyDescent="0.3">
      <c r="B614" s="114" t="s">
        <v>18</v>
      </c>
      <c r="C614" s="807" t="s">
        <v>106</v>
      </c>
      <c r="D614" s="808"/>
      <c r="E614" s="808"/>
      <c r="F614" s="809"/>
    </row>
    <row r="615" spans="2:6" x14ac:dyDescent="0.25">
      <c r="B615" s="810"/>
      <c r="C615" s="112">
        <v>2018</v>
      </c>
      <c r="D615" s="112">
        <v>2019</v>
      </c>
      <c r="E615" s="112">
        <v>2020</v>
      </c>
      <c r="F615" s="112">
        <v>2021</v>
      </c>
    </row>
    <row r="616" spans="2:6" ht="15.75" thickBot="1" x14ac:dyDescent="0.3">
      <c r="B616" s="811"/>
      <c r="C616" s="111" t="s">
        <v>10</v>
      </c>
      <c r="D616" s="111" t="s">
        <v>11</v>
      </c>
      <c r="E616" s="111" t="s">
        <v>11</v>
      </c>
      <c r="F616" s="111" t="s">
        <v>11</v>
      </c>
    </row>
    <row r="617" spans="2:6" ht="15.75" thickBot="1" x14ac:dyDescent="0.3">
      <c r="B617" s="114" t="s">
        <v>19</v>
      </c>
      <c r="C617" s="115"/>
      <c r="D617" s="115"/>
      <c r="E617" s="115"/>
      <c r="F617" s="115"/>
    </row>
    <row r="618" spans="2:6" ht="15.75" thickBot="1" x14ac:dyDescent="0.3">
      <c r="B618" s="114" t="s">
        <v>20</v>
      </c>
      <c r="C618" s="115"/>
      <c r="D618" s="115"/>
      <c r="E618" s="115"/>
      <c r="F618" s="115"/>
    </row>
    <row r="619" spans="2:6" ht="15.75" thickBot="1" x14ac:dyDescent="0.3">
      <c r="B619" s="114" t="s">
        <v>21</v>
      </c>
      <c r="C619" s="115" t="e">
        <f>C618/C617</f>
        <v>#DIV/0!</v>
      </c>
      <c r="D619" s="115" t="e">
        <f>D618/D617</f>
        <v>#DIV/0!</v>
      </c>
      <c r="E619" s="115" t="e">
        <f>E618/E617</f>
        <v>#DIV/0!</v>
      </c>
      <c r="F619" s="115" t="e">
        <f>F618/F617</f>
        <v>#DIV/0!</v>
      </c>
    </row>
    <row r="620" spans="2:6" ht="15.75" thickBot="1" x14ac:dyDescent="0.3">
      <c r="B620" s="114" t="s">
        <v>22</v>
      </c>
      <c r="C620" s="148" t="s">
        <v>23</v>
      </c>
      <c r="D620" s="113" t="e">
        <f t="shared" ref="D620:F622" si="51">D617/C617-1</f>
        <v>#DIV/0!</v>
      </c>
      <c r="E620" s="113" t="e">
        <f t="shared" si="51"/>
        <v>#DIV/0!</v>
      </c>
      <c r="F620" s="113" t="e">
        <f t="shared" si="51"/>
        <v>#DIV/0!</v>
      </c>
    </row>
    <row r="621" spans="2:6" ht="15.75" thickBot="1" x14ac:dyDescent="0.3">
      <c r="B621" s="114" t="s">
        <v>24</v>
      </c>
      <c r="C621" s="148" t="s">
        <v>23</v>
      </c>
      <c r="D621" s="113" t="e">
        <f t="shared" si="51"/>
        <v>#DIV/0!</v>
      </c>
      <c r="E621" s="113" t="e">
        <f t="shared" si="51"/>
        <v>#DIV/0!</v>
      </c>
      <c r="F621" s="113" t="e">
        <f t="shared" si="51"/>
        <v>#DIV/0!</v>
      </c>
    </row>
    <row r="622" spans="2:6" ht="15.75" thickBot="1" x14ac:dyDescent="0.3">
      <c r="B622" s="114" t="s">
        <v>25</v>
      </c>
      <c r="C622" s="148" t="s">
        <v>23</v>
      </c>
      <c r="D622" s="113" t="e">
        <f t="shared" si="51"/>
        <v>#DIV/0!</v>
      </c>
      <c r="E622" s="113" t="e">
        <f t="shared" si="51"/>
        <v>#DIV/0!</v>
      </c>
      <c r="F622" s="113" t="e">
        <f t="shared" si="51"/>
        <v>#DIV/0!</v>
      </c>
    </row>
    <row r="623" spans="2:6" ht="15.75" thickBot="1" x14ac:dyDescent="0.3">
      <c r="B623" s="812" t="s">
        <v>629</v>
      </c>
      <c r="C623" s="813"/>
      <c r="D623" s="813"/>
      <c r="E623" s="813"/>
      <c r="F623" s="814"/>
    </row>
    <row r="624" spans="2:6" x14ac:dyDescent="0.25">
      <c r="B624" s="810"/>
      <c r="C624" s="112">
        <v>2018</v>
      </c>
      <c r="D624" s="112">
        <v>2019</v>
      </c>
      <c r="E624" s="112">
        <v>2020</v>
      </c>
      <c r="F624" s="112">
        <v>2021</v>
      </c>
    </row>
    <row r="625" spans="2:6" ht="15.75" thickBot="1" x14ac:dyDescent="0.3">
      <c r="B625" s="811"/>
      <c r="C625" s="111" t="s">
        <v>10</v>
      </c>
      <c r="D625" s="111" t="s">
        <v>11</v>
      </c>
      <c r="E625" s="111" t="s">
        <v>11</v>
      </c>
      <c r="F625" s="111" t="s">
        <v>11</v>
      </c>
    </row>
    <row r="626" spans="2:6" ht="15.75" thickBot="1" x14ac:dyDescent="0.3">
      <c r="B626" s="100" t="s">
        <v>58</v>
      </c>
      <c r="C626" s="93"/>
      <c r="D626" s="93"/>
      <c r="E626" s="93"/>
      <c r="F626" s="93"/>
    </row>
    <row r="627" spans="2:6" ht="15.75" thickBot="1" x14ac:dyDescent="0.3">
      <c r="B627" s="100" t="s">
        <v>59</v>
      </c>
      <c r="C627" s="98"/>
      <c r="D627" s="93"/>
      <c r="E627" s="93"/>
      <c r="F627" s="93"/>
    </row>
    <row r="628" spans="2:6" ht="15.75" thickBot="1" x14ac:dyDescent="0.3">
      <c r="B628" s="119" t="s">
        <v>74</v>
      </c>
      <c r="C628" s="98">
        <f>C627+C626</f>
        <v>0</v>
      </c>
      <c r="D628" s="98">
        <f>D627+D626</f>
        <v>0</v>
      </c>
      <c r="E628" s="98">
        <f>E627+E626</f>
        <v>0</v>
      </c>
      <c r="F628" s="98">
        <f>F627+F626</f>
        <v>0</v>
      </c>
    </row>
    <row r="629" spans="2:6" x14ac:dyDescent="0.25">
      <c r="B629" s="815" t="s">
        <v>62</v>
      </c>
      <c r="C629" s="839"/>
      <c r="D629" s="817"/>
      <c r="E629" s="817"/>
      <c r="F629" s="818"/>
    </row>
    <row r="630" spans="2:6" x14ac:dyDescent="0.25">
      <c r="B630" s="816"/>
      <c r="C630" s="840"/>
      <c r="D630" s="819"/>
      <c r="E630" s="819"/>
      <c r="F630" s="820"/>
    </row>
    <row r="631" spans="2:6" ht="15.75" thickBot="1" x14ac:dyDescent="0.3">
      <c r="B631" s="821"/>
      <c r="C631" s="841"/>
      <c r="D631" s="822"/>
      <c r="E631" s="822"/>
      <c r="F631" s="823"/>
    </row>
    <row r="632" spans="2:6" ht="15.75" thickBot="1" x14ac:dyDescent="0.3">
      <c r="B632" s="833" t="s">
        <v>63</v>
      </c>
      <c r="C632" s="834"/>
      <c r="D632" s="834"/>
      <c r="E632" s="834"/>
      <c r="F632" s="835"/>
    </row>
    <row r="633" spans="2:6" ht="15.75" thickBot="1" x14ac:dyDescent="0.3">
      <c r="B633" s="833" t="s">
        <v>64</v>
      </c>
      <c r="C633" s="834"/>
      <c r="D633" s="834"/>
      <c r="E633" s="834"/>
      <c r="F633" s="835"/>
    </row>
    <row r="634" spans="2:6" ht="15.75" thickBot="1" x14ac:dyDescent="0.3">
      <c r="B634" s="120" t="s">
        <v>61</v>
      </c>
      <c r="C634" s="842" t="s">
        <v>130</v>
      </c>
      <c r="D634" s="843"/>
      <c r="E634" s="843"/>
      <c r="F634" s="844"/>
    </row>
    <row r="635" spans="2:6" ht="15.75" thickBot="1" x14ac:dyDescent="0.3">
      <c r="B635" s="116" t="s">
        <v>16</v>
      </c>
      <c r="C635" s="845" t="s">
        <v>106</v>
      </c>
      <c r="D635" s="846"/>
      <c r="E635" s="846"/>
      <c r="F635" s="847"/>
    </row>
    <row r="636" spans="2:6" ht="15.75" thickBot="1" x14ac:dyDescent="0.3">
      <c r="B636" s="114" t="s">
        <v>17</v>
      </c>
      <c r="C636" s="804" t="s">
        <v>106</v>
      </c>
      <c r="D636" s="805"/>
      <c r="E636" s="805"/>
      <c r="F636" s="806"/>
    </row>
    <row r="637" spans="2:6" ht="15.75" thickBot="1" x14ac:dyDescent="0.3">
      <c r="B637" s="114" t="s">
        <v>18</v>
      </c>
      <c r="C637" s="807" t="s">
        <v>106</v>
      </c>
      <c r="D637" s="808"/>
      <c r="E637" s="808"/>
      <c r="F637" s="809"/>
    </row>
    <row r="638" spans="2:6" x14ac:dyDescent="0.25">
      <c r="B638" s="810"/>
      <c r="C638" s="112">
        <v>2018</v>
      </c>
      <c r="D638" s="112">
        <v>2019</v>
      </c>
      <c r="E638" s="112">
        <v>2020</v>
      </c>
      <c r="F638" s="112">
        <v>2021</v>
      </c>
    </row>
    <row r="639" spans="2:6" ht="15.75" thickBot="1" x14ac:dyDescent="0.3">
      <c r="B639" s="811"/>
      <c r="C639" s="111" t="s">
        <v>10</v>
      </c>
      <c r="D639" s="111" t="s">
        <v>11</v>
      </c>
      <c r="E639" s="111" t="s">
        <v>11</v>
      </c>
      <c r="F639" s="111" t="s">
        <v>11</v>
      </c>
    </row>
    <row r="640" spans="2:6" ht="15.75" thickBot="1" x14ac:dyDescent="0.3">
      <c r="B640" s="114" t="s">
        <v>19</v>
      </c>
      <c r="C640" s="115"/>
      <c r="D640" s="115"/>
      <c r="E640" s="115"/>
      <c r="F640" s="115"/>
    </row>
    <row r="641" spans="2:6" ht="15.75" thickBot="1" x14ac:dyDescent="0.3">
      <c r="B641" s="114" t="s">
        <v>20</v>
      </c>
      <c r="C641" s="115"/>
      <c r="D641" s="115"/>
      <c r="E641" s="115"/>
      <c r="F641" s="115"/>
    </row>
    <row r="642" spans="2:6" ht="15.75" thickBot="1" x14ac:dyDescent="0.3">
      <c r="B642" s="114" t="s">
        <v>21</v>
      </c>
      <c r="C642" s="115" t="e">
        <f>C641/C640</f>
        <v>#DIV/0!</v>
      </c>
      <c r="D642" s="115" t="e">
        <f>D641/D640</f>
        <v>#DIV/0!</v>
      </c>
      <c r="E642" s="115" t="e">
        <f>E641/E640</f>
        <v>#DIV/0!</v>
      </c>
      <c r="F642" s="115" t="e">
        <f>F641/F640</f>
        <v>#DIV/0!</v>
      </c>
    </row>
    <row r="643" spans="2:6" ht="15.75" thickBot="1" x14ac:dyDescent="0.3">
      <c r="B643" s="114" t="s">
        <v>22</v>
      </c>
      <c r="C643" s="148" t="s">
        <v>23</v>
      </c>
      <c r="D643" s="113" t="e">
        <f t="shared" ref="D643:F645" si="52">D640/C640-1</f>
        <v>#DIV/0!</v>
      </c>
      <c r="E643" s="113" t="e">
        <f t="shared" si="52"/>
        <v>#DIV/0!</v>
      </c>
      <c r="F643" s="113" t="e">
        <f t="shared" si="52"/>
        <v>#DIV/0!</v>
      </c>
    </row>
    <row r="644" spans="2:6" ht="15.75" thickBot="1" x14ac:dyDescent="0.3">
      <c r="B644" s="114" t="s">
        <v>24</v>
      </c>
      <c r="C644" s="148" t="s">
        <v>23</v>
      </c>
      <c r="D644" s="113" t="e">
        <f t="shared" si="52"/>
        <v>#DIV/0!</v>
      </c>
      <c r="E644" s="113" t="e">
        <f t="shared" si="52"/>
        <v>#DIV/0!</v>
      </c>
      <c r="F644" s="113" t="e">
        <f t="shared" si="52"/>
        <v>#DIV/0!</v>
      </c>
    </row>
    <row r="645" spans="2:6" ht="15.75" thickBot="1" x14ac:dyDescent="0.3">
      <c r="B645" s="114" t="s">
        <v>25</v>
      </c>
      <c r="C645" s="148" t="s">
        <v>23</v>
      </c>
      <c r="D645" s="113" t="e">
        <f t="shared" si="52"/>
        <v>#DIV/0!</v>
      </c>
      <c r="E645" s="113" t="e">
        <f t="shared" si="52"/>
        <v>#DIV/0!</v>
      </c>
      <c r="F645" s="113" t="e">
        <f t="shared" si="52"/>
        <v>#DIV/0!</v>
      </c>
    </row>
    <row r="646" spans="2:6" ht="15.75" thickBot="1" x14ac:dyDescent="0.3">
      <c r="B646" s="812" t="s">
        <v>630</v>
      </c>
      <c r="C646" s="813"/>
      <c r="D646" s="813"/>
      <c r="E646" s="813"/>
      <c r="F646" s="814"/>
    </row>
    <row r="647" spans="2:6" x14ac:dyDescent="0.25">
      <c r="B647" s="810"/>
      <c r="C647" s="112">
        <v>2018</v>
      </c>
      <c r="D647" s="112">
        <v>2019</v>
      </c>
      <c r="E647" s="112">
        <v>2020</v>
      </c>
      <c r="F647" s="112">
        <v>2021</v>
      </c>
    </row>
    <row r="648" spans="2:6" ht="15.75" thickBot="1" x14ac:dyDescent="0.3">
      <c r="B648" s="811"/>
      <c r="C648" s="111" t="s">
        <v>10</v>
      </c>
      <c r="D648" s="111" t="s">
        <v>11</v>
      </c>
      <c r="E648" s="111" t="s">
        <v>11</v>
      </c>
      <c r="F648" s="111" t="s">
        <v>11</v>
      </c>
    </row>
    <row r="649" spans="2:6" ht="15.75" thickBot="1" x14ac:dyDescent="0.3">
      <c r="B649" s="100" t="s">
        <v>58</v>
      </c>
      <c r="C649" s="93"/>
      <c r="D649" s="93"/>
      <c r="E649" s="93"/>
      <c r="F649" s="93"/>
    </row>
    <row r="650" spans="2:6" ht="15.75" thickBot="1" x14ac:dyDescent="0.3">
      <c r="B650" s="100" t="s">
        <v>59</v>
      </c>
      <c r="C650" s="98"/>
      <c r="D650" s="93"/>
      <c r="E650" s="93"/>
      <c r="F650" s="93"/>
    </row>
    <row r="651" spans="2:6" ht="15.75" thickBot="1" x14ac:dyDescent="0.3">
      <c r="B651" s="119" t="s">
        <v>40</v>
      </c>
      <c r="C651" s="98">
        <f>C650+C649</f>
        <v>0</v>
      </c>
      <c r="D651" s="98">
        <f>D650+D649</f>
        <v>0</v>
      </c>
      <c r="E651" s="98">
        <f>E650+E649</f>
        <v>0</v>
      </c>
      <c r="F651" s="98">
        <f>F650+F649</f>
        <v>0</v>
      </c>
    </row>
    <row r="652" spans="2:6" x14ac:dyDescent="0.25">
      <c r="B652" s="815" t="s">
        <v>60</v>
      </c>
      <c r="C652" s="839"/>
      <c r="D652" s="817"/>
      <c r="E652" s="817"/>
      <c r="F652" s="818"/>
    </row>
    <row r="653" spans="2:6" x14ac:dyDescent="0.25">
      <c r="B653" s="816"/>
      <c r="C653" s="840"/>
      <c r="D653" s="819"/>
      <c r="E653" s="819"/>
      <c r="F653" s="820"/>
    </row>
    <row r="654" spans="2:6" ht="15.75" thickBot="1" x14ac:dyDescent="0.3">
      <c r="B654" s="821"/>
      <c r="C654" s="841"/>
      <c r="D654" s="822"/>
      <c r="E654" s="822"/>
      <c r="F654" s="823"/>
    </row>
    <row r="655" spans="2:6" ht="15.75" thickBot="1" x14ac:dyDescent="0.3">
      <c r="B655" s="120" t="s">
        <v>61</v>
      </c>
      <c r="C655" s="842" t="s">
        <v>130</v>
      </c>
      <c r="D655" s="843"/>
      <c r="E655" s="843"/>
      <c r="F655" s="844"/>
    </row>
    <row r="656" spans="2:6" ht="15.75" thickBot="1" x14ac:dyDescent="0.3">
      <c r="B656" s="116" t="s">
        <v>129</v>
      </c>
      <c r="C656" s="845" t="s">
        <v>106</v>
      </c>
      <c r="D656" s="846"/>
      <c r="E656" s="846"/>
      <c r="F656" s="847"/>
    </row>
    <row r="657" spans="2:6" ht="15.75" thickBot="1" x14ac:dyDescent="0.3">
      <c r="B657" s="114" t="s">
        <v>17</v>
      </c>
      <c r="C657" s="804" t="s">
        <v>106</v>
      </c>
      <c r="D657" s="805"/>
      <c r="E657" s="805"/>
      <c r="F657" s="806"/>
    </row>
    <row r="658" spans="2:6" ht="15.75" thickBot="1" x14ac:dyDescent="0.3">
      <c r="B658" s="114" t="s">
        <v>18</v>
      </c>
      <c r="C658" s="807" t="s">
        <v>106</v>
      </c>
      <c r="D658" s="808"/>
      <c r="E658" s="808"/>
      <c r="F658" s="809"/>
    </row>
    <row r="659" spans="2:6" x14ac:dyDescent="0.25">
      <c r="B659" s="810"/>
      <c r="C659" s="112">
        <v>2018</v>
      </c>
      <c r="D659" s="112">
        <v>2019</v>
      </c>
      <c r="E659" s="112">
        <v>2020</v>
      </c>
      <c r="F659" s="112">
        <v>2021</v>
      </c>
    </row>
    <row r="660" spans="2:6" ht="15.75" thickBot="1" x14ac:dyDescent="0.3">
      <c r="B660" s="811"/>
      <c r="C660" s="111" t="s">
        <v>10</v>
      </c>
      <c r="D660" s="111" t="s">
        <v>11</v>
      </c>
      <c r="E660" s="111" t="s">
        <v>11</v>
      </c>
      <c r="F660" s="111" t="s">
        <v>11</v>
      </c>
    </row>
    <row r="661" spans="2:6" ht="15.75" thickBot="1" x14ac:dyDescent="0.3">
      <c r="B661" s="114" t="s">
        <v>19</v>
      </c>
      <c r="C661" s="115"/>
      <c r="D661" s="115"/>
      <c r="E661" s="115"/>
      <c r="F661" s="115"/>
    </row>
    <row r="662" spans="2:6" ht="15.75" thickBot="1" x14ac:dyDescent="0.3">
      <c r="B662" s="114" t="s">
        <v>20</v>
      </c>
      <c r="C662" s="115"/>
      <c r="D662" s="115"/>
      <c r="E662" s="115"/>
      <c r="F662" s="115"/>
    </row>
    <row r="663" spans="2:6" ht="15.75" thickBot="1" x14ac:dyDescent="0.3">
      <c r="B663" s="114" t="s">
        <v>21</v>
      </c>
      <c r="C663" s="115" t="e">
        <f>C662/C661</f>
        <v>#DIV/0!</v>
      </c>
      <c r="D663" s="115" t="e">
        <f>D662/D661</f>
        <v>#DIV/0!</v>
      </c>
      <c r="E663" s="115" t="e">
        <f>E662/E661</f>
        <v>#DIV/0!</v>
      </c>
      <c r="F663" s="115" t="e">
        <f>F662/F661</f>
        <v>#DIV/0!</v>
      </c>
    </row>
    <row r="664" spans="2:6" ht="15.75" thickBot="1" x14ac:dyDescent="0.3">
      <c r="B664" s="114" t="s">
        <v>22</v>
      </c>
      <c r="C664" s="148" t="s">
        <v>23</v>
      </c>
      <c r="D664" s="113" t="e">
        <f t="shared" ref="D664:F666" si="53">D661/C661-1</f>
        <v>#DIV/0!</v>
      </c>
      <c r="E664" s="113" t="e">
        <f t="shared" si="53"/>
        <v>#DIV/0!</v>
      </c>
      <c r="F664" s="113" t="e">
        <f t="shared" si="53"/>
        <v>#DIV/0!</v>
      </c>
    </row>
    <row r="665" spans="2:6" ht="15.75" thickBot="1" x14ac:dyDescent="0.3">
      <c r="B665" s="114" t="s">
        <v>24</v>
      </c>
      <c r="C665" s="148" t="s">
        <v>23</v>
      </c>
      <c r="D665" s="113" t="e">
        <f t="shared" si="53"/>
        <v>#DIV/0!</v>
      </c>
      <c r="E665" s="113" t="e">
        <f t="shared" si="53"/>
        <v>#DIV/0!</v>
      </c>
      <c r="F665" s="113" t="e">
        <f t="shared" si="53"/>
        <v>#DIV/0!</v>
      </c>
    </row>
    <row r="666" spans="2:6" ht="15.75" thickBot="1" x14ac:dyDescent="0.3">
      <c r="B666" s="114" t="s">
        <v>25</v>
      </c>
      <c r="C666" s="148" t="s">
        <v>23</v>
      </c>
      <c r="D666" s="113" t="e">
        <f t="shared" si="53"/>
        <v>#DIV/0!</v>
      </c>
      <c r="E666" s="113" t="e">
        <f t="shared" si="53"/>
        <v>#DIV/0!</v>
      </c>
      <c r="F666" s="113" t="e">
        <f t="shared" si="53"/>
        <v>#DIV/0!</v>
      </c>
    </row>
    <row r="667" spans="2:6" ht="15.75" thickBot="1" x14ac:dyDescent="0.3">
      <c r="B667" s="812" t="s">
        <v>629</v>
      </c>
      <c r="C667" s="813"/>
      <c r="D667" s="813"/>
      <c r="E667" s="813"/>
      <c r="F667" s="814"/>
    </row>
    <row r="668" spans="2:6" x14ac:dyDescent="0.25">
      <c r="B668" s="810"/>
      <c r="C668" s="112">
        <v>2018</v>
      </c>
      <c r="D668" s="112">
        <v>2019</v>
      </c>
      <c r="E668" s="112">
        <v>2020</v>
      </c>
      <c r="F668" s="112">
        <v>2021</v>
      </c>
    </row>
    <row r="669" spans="2:6" ht="15.75" thickBot="1" x14ac:dyDescent="0.3">
      <c r="B669" s="811"/>
      <c r="C669" s="111" t="s">
        <v>10</v>
      </c>
      <c r="D669" s="111" t="s">
        <v>11</v>
      </c>
      <c r="E669" s="111" t="s">
        <v>11</v>
      </c>
      <c r="F669" s="111" t="s">
        <v>11</v>
      </c>
    </row>
    <row r="670" spans="2:6" ht="15.75" thickBot="1" x14ac:dyDescent="0.3">
      <c r="B670" s="100" t="s">
        <v>58</v>
      </c>
      <c r="C670" s="93"/>
      <c r="D670" s="93"/>
      <c r="E670" s="93"/>
      <c r="F670" s="93"/>
    </row>
    <row r="671" spans="2:6" ht="15.75" thickBot="1" x14ac:dyDescent="0.3">
      <c r="B671" s="100" t="s">
        <v>59</v>
      </c>
      <c r="C671" s="98"/>
      <c r="D671" s="93"/>
      <c r="E671" s="93"/>
      <c r="F671" s="93"/>
    </row>
    <row r="672" spans="2:6" ht="15.75" thickBot="1" x14ac:dyDescent="0.3">
      <c r="B672" s="119" t="s">
        <v>74</v>
      </c>
      <c r="C672" s="98">
        <f>C671+C670</f>
        <v>0</v>
      </c>
      <c r="D672" s="98">
        <f>D671+D670</f>
        <v>0</v>
      </c>
      <c r="E672" s="98">
        <f>E671+E670</f>
        <v>0</v>
      </c>
      <c r="F672" s="98">
        <f>F671+F670</f>
        <v>0</v>
      </c>
    </row>
    <row r="673" spans="2:6" x14ac:dyDescent="0.25">
      <c r="B673" s="815" t="s">
        <v>62</v>
      </c>
      <c r="C673" s="839"/>
      <c r="D673" s="817"/>
      <c r="E673" s="817"/>
      <c r="F673" s="818"/>
    </row>
    <row r="674" spans="2:6" x14ac:dyDescent="0.25">
      <c r="B674" s="816"/>
      <c r="C674" s="840"/>
      <c r="D674" s="819"/>
      <c r="E674" s="819"/>
      <c r="F674" s="820"/>
    </row>
    <row r="675" spans="2:6" ht="15.75" thickBot="1" x14ac:dyDescent="0.3">
      <c r="B675" s="821"/>
      <c r="C675" s="841"/>
      <c r="D675" s="822"/>
      <c r="E675" s="822"/>
      <c r="F675" s="823"/>
    </row>
    <row r="676" spans="2:6" ht="15.75" thickBot="1" x14ac:dyDescent="0.3">
      <c r="B676" s="367"/>
      <c r="C676" s="368"/>
      <c r="D676" s="368"/>
      <c r="E676" s="368"/>
      <c r="F676" s="368"/>
    </row>
    <row r="677" spans="2:6" ht="46.5" customHeight="1" thickBot="1" x14ac:dyDescent="0.3">
      <c r="B677" s="360" t="s">
        <v>75</v>
      </c>
      <c r="C677" s="824" t="s">
        <v>628</v>
      </c>
      <c r="D677" s="825"/>
      <c r="E677" s="825"/>
      <c r="F677" s="826"/>
    </row>
    <row r="678" spans="2:6" ht="15.75" thickBot="1" x14ac:dyDescent="0.3">
      <c r="B678" s="804" t="s">
        <v>76</v>
      </c>
      <c r="C678" s="805"/>
      <c r="D678" s="805"/>
      <c r="E678" s="805"/>
      <c r="F678" s="806"/>
    </row>
    <row r="679" spans="2:6" ht="15.75" thickBot="1" x14ac:dyDescent="0.3">
      <c r="B679" s="149" t="s">
        <v>627</v>
      </c>
      <c r="C679" s="117" t="s">
        <v>116</v>
      </c>
      <c r="D679" s="117" t="s">
        <v>117</v>
      </c>
      <c r="E679" s="117" t="s">
        <v>117</v>
      </c>
      <c r="F679" s="117" t="s">
        <v>117</v>
      </c>
    </row>
    <row r="680" spans="2:6" ht="15.75" thickBot="1" x14ac:dyDescent="0.3">
      <c r="B680" s="114" t="s">
        <v>626</v>
      </c>
      <c r="C680" s="117" t="s">
        <v>116</v>
      </c>
      <c r="D680" s="117" t="s">
        <v>117</v>
      </c>
      <c r="E680" s="117" t="s">
        <v>117</v>
      </c>
      <c r="F680" s="117" t="s">
        <v>117</v>
      </c>
    </row>
    <row r="681" spans="2:6" ht="15.75" thickBot="1" x14ac:dyDescent="0.3">
      <c r="B681" s="827" t="s">
        <v>77</v>
      </c>
      <c r="C681" s="828"/>
      <c r="D681" s="828"/>
      <c r="E681" s="828"/>
      <c r="F681" s="829"/>
    </row>
    <row r="682" spans="2:6" ht="15.75" thickBot="1" x14ac:dyDescent="0.3">
      <c r="B682" s="830" t="s">
        <v>70</v>
      </c>
      <c r="C682" s="831"/>
      <c r="D682" s="831"/>
      <c r="E682" s="831"/>
      <c r="F682" s="832"/>
    </row>
    <row r="683" spans="2:6" x14ac:dyDescent="0.25">
      <c r="B683" s="810"/>
      <c r="C683" s="112">
        <v>2018</v>
      </c>
      <c r="D683" s="112">
        <v>2019</v>
      </c>
      <c r="E683" s="112">
        <v>2020</v>
      </c>
      <c r="F683" s="112">
        <v>2021</v>
      </c>
    </row>
    <row r="684" spans="2:6" ht="15.75" thickBot="1" x14ac:dyDescent="0.3">
      <c r="B684" s="811"/>
      <c r="C684" s="111" t="s">
        <v>10</v>
      </c>
      <c r="D684" s="111" t="s">
        <v>11</v>
      </c>
      <c r="E684" s="111" t="s">
        <v>11</v>
      </c>
      <c r="F684" s="111" t="s">
        <v>11</v>
      </c>
    </row>
    <row r="685" spans="2:6" ht="15.75" thickBot="1" x14ac:dyDescent="0.3">
      <c r="B685" s="116" t="s">
        <v>16</v>
      </c>
      <c r="C685" s="833" t="s">
        <v>625</v>
      </c>
      <c r="D685" s="834"/>
      <c r="E685" s="834"/>
      <c r="F685" s="835"/>
    </row>
    <row r="686" spans="2:6" ht="15.75" thickBot="1" x14ac:dyDescent="0.3">
      <c r="B686" s="114" t="s">
        <v>17</v>
      </c>
      <c r="C686" s="804" t="s">
        <v>624</v>
      </c>
      <c r="D686" s="805"/>
      <c r="E686" s="805"/>
      <c r="F686" s="806"/>
    </row>
    <row r="687" spans="2:6" ht="15.75" thickBot="1" x14ac:dyDescent="0.3">
      <c r="B687" s="114" t="s">
        <v>18</v>
      </c>
      <c r="C687" s="807"/>
      <c r="D687" s="808"/>
      <c r="E687" s="808"/>
      <c r="F687" s="809"/>
    </row>
    <row r="688" spans="2:6" x14ac:dyDescent="0.25">
      <c r="B688" s="810"/>
      <c r="C688" s="112">
        <v>2018</v>
      </c>
      <c r="D688" s="112">
        <v>2019</v>
      </c>
      <c r="E688" s="112">
        <v>2020</v>
      </c>
      <c r="F688" s="112">
        <v>2021</v>
      </c>
    </row>
    <row r="689" spans="2:6" ht="15.75" thickBot="1" x14ac:dyDescent="0.3">
      <c r="B689" s="811"/>
      <c r="C689" s="111" t="s">
        <v>10</v>
      </c>
      <c r="D689" s="111" t="s">
        <v>11</v>
      </c>
      <c r="E689" s="111" t="s">
        <v>11</v>
      </c>
      <c r="F689" s="111" t="s">
        <v>11</v>
      </c>
    </row>
    <row r="690" spans="2:6" ht="15.75" thickBot="1" x14ac:dyDescent="0.3">
      <c r="B690" s="114" t="s">
        <v>19</v>
      </c>
      <c r="C690" s="115"/>
      <c r="D690" s="110"/>
      <c r="E690" s="110"/>
      <c r="F690" s="110"/>
    </row>
    <row r="691" spans="2:6" ht="15.75" thickBot="1" x14ac:dyDescent="0.3">
      <c r="B691" s="114" t="s">
        <v>20</v>
      </c>
      <c r="C691" s="115">
        <f>C722</f>
        <v>1940</v>
      </c>
      <c r="D691" s="115">
        <f>D722</f>
        <v>2750</v>
      </c>
      <c r="E691" s="115">
        <f>E722</f>
        <v>2750</v>
      </c>
      <c r="F691" s="115">
        <f>F722</f>
        <v>2312</v>
      </c>
    </row>
    <row r="692" spans="2:6" ht="15.75" thickBot="1" x14ac:dyDescent="0.3">
      <c r="B692" s="114" t="s">
        <v>21</v>
      </c>
      <c r="C692" s="115" t="e">
        <f>C691/C690</f>
        <v>#DIV/0!</v>
      </c>
      <c r="D692" s="115" t="e">
        <f>D691/D690</f>
        <v>#DIV/0!</v>
      </c>
      <c r="E692" s="115" t="e">
        <f>E691/E690</f>
        <v>#DIV/0!</v>
      </c>
      <c r="F692" s="115" t="e">
        <f>F691/F690</f>
        <v>#DIV/0!</v>
      </c>
    </row>
    <row r="693" spans="2:6" ht="15.75" thickBot="1" x14ac:dyDescent="0.3">
      <c r="B693" s="114" t="s">
        <v>22</v>
      </c>
      <c r="C693" s="148"/>
      <c r="D693" s="113" t="e">
        <f t="shared" ref="D693:F695" si="54">D690/C690-1</f>
        <v>#DIV/0!</v>
      </c>
      <c r="E693" s="113" t="e">
        <f t="shared" si="54"/>
        <v>#DIV/0!</v>
      </c>
      <c r="F693" s="113" t="e">
        <f t="shared" si="54"/>
        <v>#DIV/0!</v>
      </c>
    </row>
    <row r="694" spans="2:6" ht="15.75" thickBot="1" x14ac:dyDescent="0.3">
      <c r="B694" s="114" t="s">
        <v>24</v>
      </c>
      <c r="C694" s="148"/>
      <c r="D694" s="113">
        <f t="shared" si="54"/>
        <v>0.41752577319587636</v>
      </c>
      <c r="E694" s="113">
        <f t="shared" si="54"/>
        <v>0</v>
      </c>
      <c r="F694" s="113">
        <f t="shared" si="54"/>
        <v>-0.15927272727272723</v>
      </c>
    </row>
    <row r="695" spans="2:6" ht="15.75" thickBot="1" x14ac:dyDescent="0.3">
      <c r="B695" s="114" t="s">
        <v>25</v>
      </c>
      <c r="C695" s="148"/>
      <c r="D695" s="113" t="e">
        <f t="shared" si="54"/>
        <v>#DIV/0!</v>
      </c>
      <c r="E695" s="113" t="e">
        <f t="shared" si="54"/>
        <v>#DIV/0!</v>
      </c>
      <c r="F695" s="113" t="e">
        <f t="shared" si="54"/>
        <v>#DIV/0!</v>
      </c>
    </row>
    <row r="696" spans="2:6" x14ac:dyDescent="0.25">
      <c r="B696" s="810"/>
      <c r="C696" s="112">
        <v>2018</v>
      </c>
      <c r="D696" s="112">
        <v>2019</v>
      </c>
      <c r="E696" s="112">
        <v>2020</v>
      </c>
      <c r="F696" s="112">
        <v>2021</v>
      </c>
    </row>
    <row r="697" spans="2:6" ht="15.75" thickBot="1" x14ac:dyDescent="0.3">
      <c r="B697" s="811"/>
      <c r="C697" s="111" t="s">
        <v>10</v>
      </c>
      <c r="D697" s="111" t="s">
        <v>11</v>
      </c>
      <c r="E697" s="111" t="s">
        <v>11</v>
      </c>
      <c r="F697" s="111" t="s">
        <v>11</v>
      </c>
    </row>
    <row r="698" spans="2:6" ht="15.75" thickBot="1" x14ac:dyDescent="0.3">
      <c r="B698" s="812" t="s">
        <v>612</v>
      </c>
      <c r="C698" s="813"/>
      <c r="D698" s="813"/>
      <c r="E698" s="813"/>
      <c r="F698" s="814"/>
    </row>
    <row r="699" spans="2:6" x14ac:dyDescent="0.25">
      <c r="B699" s="810"/>
      <c r="C699" s="112">
        <v>2018</v>
      </c>
      <c r="D699" s="112">
        <v>2019</v>
      </c>
      <c r="E699" s="112">
        <v>2020</v>
      </c>
      <c r="F699" s="112">
        <v>2021</v>
      </c>
    </row>
    <row r="700" spans="2:6" ht="15.75" thickBot="1" x14ac:dyDescent="0.3">
      <c r="B700" s="811"/>
      <c r="C700" s="111" t="s">
        <v>10</v>
      </c>
      <c r="D700" s="111" t="s">
        <v>11</v>
      </c>
      <c r="E700" s="111" t="s">
        <v>11</v>
      </c>
      <c r="F700" s="111" t="s">
        <v>11</v>
      </c>
    </row>
    <row r="701" spans="2:6" ht="15.75" thickBot="1" x14ac:dyDescent="0.3">
      <c r="B701" s="100" t="s">
        <v>26</v>
      </c>
      <c r="C701" s="93">
        <v>0</v>
      </c>
      <c r="D701" s="93">
        <v>0</v>
      </c>
      <c r="E701" s="93">
        <v>0</v>
      </c>
      <c r="F701" s="93">
        <v>0</v>
      </c>
    </row>
    <row r="702" spans="2:6" ht="30.75" thickBot="1" x14ac:dyDescent="0.3">
      <c r="B702" s="99" t="s">
        <v>27</v>
      </c>
      <c r="C702" s="98"/>
      <c r="D702" s="97"/>
      <c r="E702" s="97"/>
      <c r="F702" s="97"/>
    </row>
    <row r="703" spans="2:6" ht="30.75" thickBot="1" x14ac:dyDescent="0.3">
      <c r="B703" s="99" t="s">
        <v>45</v>
      </c>
      <c r="C703" s="98"/>
      <c r="D703" s="97"/>
      <c r="E703" s="97"/>
      <c r="F703" s="97"/>
    </row>
    <row r="704" spans="2:6" ht="15.75" thickBot="1" x14ac:dyDescent="0.3">
      <c r="B704" s="100" t="s">
        <v>28</v>
      </c>
      <c r="C704" s="93">
        <v>0</v>
      </c>
      <c r="D704" s="93">
        <v>0</v>
      </c>
      <c r="E704" s="93">
        <v>0</v>
      </c>
      <c r="F704" s="93">
        <v>0</v>
      </c>
    </row>
    <row r="705" spans="2:6" ht="45.75" thickBot="1" x14ac:dyDescent="0.3">
      <c r="B705" s="99" t="s">
        <v>29</v>
      </c>
      <c r="C705" s="98"/>
      <c r="D705" s="93"/>
      <c r="E705" s="93"/>
      <c r="F705" s="93"/>
    </row>
    <row r="706" spans="2:6" ht="45.75" thickBot="1" x14ac:dyDescent="0.3">
      <c r="B706" s="99" t="s">
        <v>46</v>
      </c>
      <c r="C706" s="98"/>
      <c r="D706" s="93"/>
      <c r="E706" s="93"/>
      <c r="F706" s="93"/>
    </row>
    <row r="707" spans="2:6" ht="15.75" thickBot="1" x14ac:dyDescent="0.3">
      <c r="B707" s="100" t="s">
        <v>30</v>
      </c>
      <c r="C707" s="110">
        <v>1940</v>
      </c>
      <c r="D707" s="93">
        <v>2750</v>
      </c>
      <c r="E707" s="93">
        <v>2750</v>
      </c>
      <c r="F707" s="93">
        <v>2312</v>
      </c>
    </row>
    <row r="708" spans="2:6" ht="30.75" thickBot="1" x14ac:dyDescent="0.3">
      <c r="B708" s="99" t="s">
        <v>31</v>
      </c>
      <c r="C708" s="98"/>
      <c r="D708" s="93"/>
      <c r="E708" s="93"/>
      <c r="F708" s="93"/>
    </row>
    <row r="709" spans="2:6" ht="30.75" thickBot="1" x14ac:dyDescent="0.3">
      <c r="B709" s="99" t="s">
        <v>47</v>
      </c>
      <c r="C709" s="98"/>
      <c r="D709" s="93"/>
      <c r="E709" s="93"/>
      <c r="F709" s="93"/>
    </row>
    <row r="710" spans="2:6" ht="15.75" thickBot="1" x14ac:dyDescent="0.3">
      <c r="B710" s="100" t="s">
        <v>32</v>
      </c>
      <c r="C710" s="98"/>
      <c r="D710" s="93"/>
      <c r="E710" s="93"/>
      <c r="F710" s="93"/>
    </row>
    <row r="711" spans="2:6" ht="30.75" thickBot="1" x14ac:dyDescent="0.3">
      <c r="B711" s="99" t="s">
        <v>33</v>
      </c>
      <c r="C711" s="98"/>
      <c r="D711" s="93"/>
      <c r="E711" s="93"/>
      <c r="F711" s="93"/>
    </row>
    <row r="712" spans="2:6" ht="30.75" thickBot="1" x14ac:dyDescent="0.3">
      <c r="B712" s="99" t="s">
        <v>48</v>
      </c>
      <c r="C712" s="98"/>
      <c r="D712" s="93"/>
      <c r="E712" s="93"/>
      <c r="F712" s="93"/>
    </row>
    <row r="713" spans="2:6" ht="15.75" thickBot="1" x14ac:dyDescent="0.3">
      <c r="B713" s="100" t="s">
        <v>34</v>
      </c>
      <c r="C713" s="98"/>
      <c r="D713" s="93"/>
      <c r="E713" s="93"/>
      <c r="F713" s="93"/>
    </row>
    <row r="714" spans="2:6" ht="30.75" thickBot="1" x14ac:dyDescent="0.3">
      <c r="B714" s="99" t="s">
        <v>35</v>
      </c>
      <c r="C714" s="98"/>
      <c r="D714" s="93"/>
      <c r="E714" s="93"/>
      <c r="F714" s="93"/>
    </row>
    <row r="715" spans="2:6" ht="30.75" thickBot="1" x14ac:dyDescent="0.3">
      <c r="B715" s="99" t="s">
        <v>49</v>
      </c>
      <c r="C715" s="98"/>
      <c r="D715" s="93"/>
      <c r="E715" s="93"/>
      <c r="F715" s="93"/>
    </row>
    <row r="716" spans="2:6" ht="15.75" thickBot="1" x14ac:dyDescent="0.3">
      <c r="B716" s="100" t="s">
        <v>36</v>
      </c>
      <c r="C716" s="98"/>
      <c r="D716" s="93"/>
      <c r="E716" s="93"/>
      <c r="F716" s="93"/>
    </row>
    <row r="717" spans="2:6" ht="30.75" thickBot="1" x14ac:dyDescent="0.3">
      <c r="B717" s="99" t="s">
        <v>37</v>
      </c>
      <c r="C717" s="98"/>
      <c r="D717" s="93"/>
      <c r="E717" s="93"/>
      <c r="F717" s="93"/>
    </row>
    <row r="718" spans="2:6" ht="30.75" thickBot="1" x14ac:dyDescent="0.3">
      <c r="B718" s="99" t="s">
        <v>50</v>
      </c>
      <c r="C718" s="98"/>
      <c r="D718" s="93"/>
      <c r="E718" s="93"/>
      <c r="F718" s="93"/>
    </row>
    <row r="719" spans="2:6" ht="15.75" thickBot="1" x14ac:dyDescent="0.3">
      <c r="B719" s="100" t="s">
        <v>38</v>
      </c>
      <c r="C719" s="98"/>
      <c r="D719" s="93"/>
      <c r="E719" s="93"/>
      <c r="F719" s="93"/>
    </row>
    <row r="720" spans="2:6" ht="45.75" thickBot="1" x14ac:dyDescent="0.3">
      <c r="B720" s="99" t="s">
        <v>39</v>
      </c>
      <c r="C720" s="98"/>
      <c r="D720" s="93"/>
      <c r="E720" s="93"/>
      <c r="F720" s="93"/>
    </row>
    <row r="721" spans="2:6" ht="45.75" thickBot="1" x14ac:dyDescent="0.3">
      <c r="B721" s="99" t="s">
        <v>51</v>
      </c>
      <c r="C721" s="98"/>
      <c r="D721" s="93"/>
      <c r="E721" s="93"/>
      <c r="F721" s="93"/>
    </row>
    <row r="722" spans="2:6" ht="29.25" thickBot="1" x14ac:dyDescent="0.3">
      <c r="B722" s="109" t="s">
        <v>71</v>
      </c>
      <c r="C722" s="108">
        <f>C719+C716+C713+C710+C707+C704+C701</f>
        <v>1940</v>
      </c>
      <c r="D722" s="108">
        <f>D719+D716+D713+D710+D707+D704+D701</f>
        <v>2750</v>
      </c>
      <c r="E722" s="108">
        <f>E719+E716+E713+E710+E707+E704+E701</f>
        <v>2750</v>
      </c>
      <c r="F722" s="108">
        <f>F719+F716+F713+F710+F707+F704+F701</f>
        <v>2312</v>
      </c>
    </row>
    <row r="723" spans="2:6" x14ac:dyDescent="0.25">
      <c r="B723" s="815" t="s">
        <v>119</v>
      </c>
      <c r="C723" s="817" t="s">
        <v>23</v>
      </c>
      <c r="D723" s="817"/>
      <c r="E723" s="817"/>
      <c r="F723" s="818"/>
    </row>
    <row r="724" spans="2:6" x14ac:dyDescent="0.25">
      <c r="B724" s="816"/>
      <c r="C724" s="819"/>
      <c r="D724" s="819"/>
      <c r="E724" s="819"/>
      <c r="F724" s="820"/>
    </row>
    <row r="725" spans="2:6" ht="15.75" thickBot="1" x14ac:dyDescent="0.3">
      <c r="B725" s="821"/>
      <c r="C725" s="822"/>
      <c r="D725" s="822"/>
      <c r="E725" s="822"/>
      <c r="F725" s="823"/>
    </row>
    <row r="726" spans="2:6" ht="15.75" thickBot="1" x14ac:dyDescent="0.3">
      <c r="B726" s="96" t="s">
        <v>41</v>
      </c>
      <c r="C726" s="95">
        <f>IF(C722-C691=0,0,"Error")</f>
        <v>0</v>
      </c>
      <c r="D726" s="95">
        <f>IF(D722-D691=0,0,"Error")</f>
        <v>0</v>
      </c>
      <c r="E726" s="95">
        <f>IF(E722-E691=0,0,"Error")</f>
        <v>0</v>
      </c>
      <c r="F726" s="95">
        <f>IF(F722-F691=0,0,"Error")</f>
        <v>0</v>
      </c>
    </row>
    <row r="727" spans="2:6" ht="15.75" thickBot="1" x14ac:dyDescent="0.3">
      <c r="B727" s="107"/>
      <c r="C727" s="106"/>
      <c r="D727" s="106"/>
      <c r="E727" s="106"/>
      <c r="F727" s="106"/>
    </row>
    <row r="728" spans="2:6" ht="15.75" thickBot="1" x14ac:dyDescent="0.3">
      <c r="B728" s="118" t="s">
        <v>78</v>
      </c>
      <c r="C728" s="836" t="s">
        <v>623</v>
      </c>
      <c r="D728" s="837"/>
      <c r="E728" s="837"/>
      <c r="F728" s="838"/>
    </row>
    <row r="729" spans="2:6" ht="15.75" thickBot="1" x14ac:dyDescent="0.3">
      <c r="B729" s="804" t="s">
        <v>195</v>
      </c>
      <c r="C729" s="805"/>
      <c r="D729" s="805"/>
      <c r="E729" s="805"/>
      <c r="F729" s="806"/>
    </row>
    <row r="730" spans="2:6" ht="30.75" thickBot="1" x14ac:dyDescent="0.3">
      <c r="B730" s="149" t="s">
        <v>622</v>
      </c>
      <c r="C730" s="117" t="s">
        <v>116</v>
      </c>
      <c r="D730" s="117" t="s">
        <v>117</v>
      </c>
      <c r="E730" s="117" t="s">
        <v>117</v>
      </c>
      <c r="F730" s="117" t="s">
        <v>117</v>
      </c>
    </row>
    <row r="731" spans="2:6" ht="15.75" thickBot="1" x14ac:dyDescent="0.3">
      <c r="B731" s="114"/>
      <c r="C731" s="117" t="s">
        <v>116</v>
      </c>
      <c r="D731" s="117" t="s">
        <v>117</v>
      </c>
      <c r="E731" s="117" t="s">
        <v>117</v>
      </c>
      <c r="F731" s="117" t="s">
        <v>117</v>
      </c>
    </row>
    <row r="732" spans="2:6" ht="15.75" thickBot="1" x14ac:dyDescent="0.3">
      <c r="B732" s="827" t="s">
        <v>346</v>
      </c>
      <c r="C732" s="828"/>
      <c r="D732" s="828"/>
      <c r="E732" s="828"/>
      <c r="F732" s="829"/>
    </row>
    <row r="733" spans="2:6" ht="15.75" thickBot="1" x14ac:dyDescent="0.3">
      <c r="B733" s="830" t="s">
        <v>70</v>
      </c>
      <c r="C733" s="831"/>
      <c r="D733" s="831"/>
      <c r="E733" s="831"/>
      <c r="F733" s="832"/>
    </row>
    <row r="734" spans="2:6" x14ac:dyDescent="0.25">
      <c r="B734" s="810"/>
      <c r="C734" s="112">
        <v>2018</v>
      </c>
      <c r="D734" s="112">
        <v>2019</v>
      </c>
      <c r="E734" s="112">
        <v>2020</v>
      </c>
      <c r="F734" s="112">
        <v>2021</v>
      </c>
    </row>
    <row r="735" spans="2:6" ht="15.75" thickBot="1" x14ac:dyDescent="0.3">
      <c r="B735" s="811"/>
      <c r="C735" s="111" t="s">
        <v>10</v>
      </c>
      <c r="D735" s="111" t="s">
        <v>11</v>
      </c>
      <c r="E735" s="111" t="s">
        <v>11</v>
      </c>
      <c r="F735" s="111" t="s">
        <v>11</v>
      </c>
    </row>
    <row r="736" spans="2:6" ht="15.75" thickBot="1" x14ac:dyDescent="0.3">
      <c r="B736" s="116" t="s">
        <v>16</v>
      </c>
      <c r="C736" s="833" t="s">
        <v>621</v>
      </c>
      <c r="D736" s="834"/>
      <c r="E736" s="834"/>
      <c r="F736" s="835"/>
    </row>
    <row r="737" spans="2:6" ht="15.75" thickBot="1" x14ac:dyDescent="0.3">
      <c r="B737" s="114" t="s">
        <v>17</v>
      </c>
      <c r="C737" s="804" t="s">
        <v>620</v>
      </c>
      <c r="D737" s="805"/>
      <c r="E737" s="805"/>
      <c r="F737" s="806"/>
    </row>
    <row r="738" spans="2:6" ht="15.75" thickBot="1" x14ac:dyDescent="0.3">
      <c r="B738" s="114" t="s">
        <v>18</v>
      </c>
      <c r="C738" s="807" t="s">
        <v>619</v>
      </c>
      <c r="D738" s="808"/>
      <c r="E738" s="808"/>
      <c r="F738" s="809"/>
    </row>
    <row r="739" spans="2:6" x14ac:dyDescent="0.25">
      <c r="B739" s="810"/>
      <c r="C739" s="112">
        <v>2018</v>
      </c>
      <c r="D739" s="112">
        <v>2019</v>
      </c>
      <c r="E739" s="112">
        <v>2020</v>
      </c>
      <c r="F739" s="112">
        <v>2021</v>
      </c>
    </row>
    <row r="740" spans="2:6" ht="15.75" thickBot="1" x14ac:dyDescent="0.3">
      <c r="B740" s="811"/>
      <c r="C740" s="111" t="s">
        <v>10</v>
      </c>
      <c r="D740" s="111" t="s">
        <v>11</v>
      </c>
      <c r="E740" s="111" t="s">
        <v>11</v>
      </c>
      <c r="F740" s="111" t="s">
        <v>11</v>
      </c>
    </row>
    <row r="741" spans="2:6" ht="15.75" thickBot="1" x14ac:dyDescent="0.3">
      <c r="B741" s="114" t="s">
        <v>19</v>
      </c>
      <c r="C741" s="115">
        <v>3400</v>
      </c>
      <c r="D741" s="110">
        <v>3400</v>
      </c>
      <c r="E741" s="110">
        <v>3400</v>
      </c>
      <c r="F741" s="110">
        <v>3400</v>
      </c>
    </row>
    <row r="742" spans="2:6" ht="15.75" thickBot="1" x14ac:dyDescent="0.3">
      <c r="B742" s="114" t="s">
        <v>20</v>
      </c>
      <c r="C742" s="115">
        <f>C773</f>
        <v>8660</v>
      </c>
      <c r="D742" s="115">
        <f>D773</f>
        <v>12110</v>
      </c>
      <c r="E742" s="115">
        <f>E773</f>
        <v>13000</v>
      </c>
      <c r="F742" s="115">
        <f>F773</f>
        <v>11800</v>
      </c>
    </row>
    <row r="743" spans="2:6" ht="15.75" thickBot="1" x14ac:dyDescent="0.3">
      <c r="B743" s="114" t="s">
        <v>21</v>
      </c>
      <c r="C743" s="115">
        <f>C742/C741</f>
        <v>2.5470588235294116</v>
      </c>
      <c r="D743" s="115">
        <f>D742/D741</f>
        <v>3.5617647058823527</v>
      </c>
      <c r="E743" s="115">
        <f>E742/E741</f>
        <v>3.8235294117647061</v>
      </c>
      <c r="F743" s="115">
        <f>F742/F741</f>
        <v>3.4705882352941178</v>
      </c>
    </row>
    <row r="744" spans="2:6" ht="15.75" thickBot="1" x14ac:dyDescent="0.3">
      <c r="B744" s="114" t="s">
        <v>22</v>
      </c>
      <c r="C744" s="148"/>
      <c r="D744" s="113">
        <f t="shared" ref="D744:F746" si="55">D741/C741-1</f>
        <v>0</v>
      </c>
      <c r="E744" s="113">
        <f t="shared" si="55"/>
        <v>0</v>
      </c>
      <c r="F744" s="113">
        <f t="shared" si="55"/>
        <v>0</v>
      </c>
    </row>
    <row r="745" spans="2:6" ht="15.75" thickBot="1" x14ac:dyDescent="0.3">
      <c r="B745" s="114" t="s">
        <v>24</v>
      </c>
      <c r="C745" s="148"/>
      <c r="D745" s="113">
        <f t="shared" si="55"/>
        <v>0.39838337182448047</v>
      </c>
      <c r="E745" s="113">
        <f t="shared" si="55"/>
        <v>7.3492981007431846E-2</v>
      </c>
      <c r="F745" s="113">
        <f t="shared" si="55"/>
        <v>-9.2307692307692313E-2</v>
      </c>
    </row>
    <row r="746" spans="2:6" ht="15.75" thickBot="1" x14ac:dyDescent="0.3">
      <c r="B746" s="114" t="s">
        <v>25</v>
      </c>
      <c r="C746" s="148"/>
      <c r="D746" s="113">
        <f t="shared" si="55"/>
        <v>0.39838337182448047</v>
      </c>
      <c r="E746" s="113">
        <f t="shared" si="55"/>
        <v>7.3492981007432068E-2</v>
      </c>
      <c r="F746" s="113">
        <f t="shared" si="55"/>
        <v>-9.2307692307692313E-2</v>
      </c>
    </row>
    <row r="747" spans="2:6" x14ac:dyDescent="0.25">
      <c r="B747" s="810"/>
      <c r="C747" s="112">
        <v>2018</v>
      </c>
      <c r="D747" s="112">
        <v>2019</v>
      </c>
      <c r="E747" s="112">
        <v>2020</v>
      </c>
      <c r="F747" s="112">
        <v>2021</v>
      </c>
    </row>
    <row r="748" spans="2:6" ht="15.75" thickBot="1" x14ac:dyDescent="0.3">
      <c r="B748" s="811"/>
      <c r="C748" s="111" t="s">
        <v>10</v>
      </c>
      <c r="D748" s="111" t="s">
        <v>11</v>
      </c>
      <c r="E748" s="111" t="s">
        <v>11</v>
      </c>
      <c r="F748" s="111" t="s">
        <v>11</v>
      </c>
    </row>
    <row r="749" spans="2:6" ht="15.75" thickBot="1" x14ac:dyDescent="0.3">
      <c r="B749" s="812" t="s">
        <v>612</v>
      </c>
      <c r="C749" s="813"/>
      <c r="D749" s="813"/>
      <c r="E749" s="813"/>
      <c r="F749" s="814"/>
    </row>
    <row r="750" spans="2:6" x14ac:dyDescent="0.25">
      <c r="B750" s="810"/>
      <c r="C750" s="112">
        <v>2018</v>
      </c>
      <c r="D750" s="112">
        <v>2019</v>
      </c>
      <c r="E750" s="112">
        <v>2020</v>
      </c>
      <c r="F750" s="112">
        <v>2021</v>
      </c>
    </row>
    <row r="751" spans="2:6" ht="15.75" thickBot="1" x14ac:dyDescent="0.3">
      <c r="B751" s="811"/>
      <c r="C751" s="111" t="s">
        <v>10</v>
      </c>
      <c r="D751" s="111" t="s">
        <v>11</v>
      </c>
      <c r="E751" s="111" t="s">
        <v>11</v>
      </c>
      <c r="F751" s="111" t="s">
        <v>11</v>
      </c>
    </row>
    <row r="752" spans="2:6" ht="15.75" thickBot="1" x14ac:dyDescent="0.3">
      <c r="B752" s="100" t="s">
        <v>26</v>
      </c>
      <c r="C752" s="93">
        <v>0</v>
      </c>
      <c r="D752" s="93">
        <v>0</v>
      </c>
      <c r="E752" s="93">
        <v>0</v>
      </c>
      <c r="F752" s="93">
        <v>0</v>
      </c>
    </row>
    <row r="753" spans="2:6" ht="30.75" thickBot="1" x14ac:dyDescent="0.3">
      <c r="B753" s="99" t="s">
        <v>27</v>
      </c>
      <c r="C753" s="98"/>
      <c r="D753" s="97"/>
      <c r="E753" s="97"/>
      <c r="F753" s="97"/>
    </row>
    <row r="754" spans="2:6" ht="30.75" thickBot="1" x14ac:dyDescent="0.3">
      <c r="B754" s="99" t="s">
        <v>45</v>
      </c>
      <c r="C754" s="98"/>
      <c r="D754" s="97"/>
      <c r="E754" s="97"/>
      <c r="F754" s="97"/>
    </row>
    <row r="755" spans="2:6" ht="15.75" thickBot="1" x14ac:dyDescent="0.3">
      <c r="B755" s="100" t="s">
        <v>28</v>
      </c>
      <c r="C755" s="93">
        <v>0</v>
      </c>
      <c r="D755" s="93">
        <v>0</v>
      </c>
      <c r="E755" s="93">
        <v>0</v>
      </c>
      <c r="F755" s="93">
        <v>0</v>
      </c>
    </row>
    <row r="756" spans="2:6" ht="45.75" thickBot="1" x14ac:dyDescent="0.3">
      <c r="B756" s="99" t="s">
        <v>29</v>
      </c>
      <c r="C756" s="98"/>
      <c r="D756" s="93"/>
      <c r="E756" s="93"/>
      <c r="F756" s="93"/>
    </row>
    <row r="757" spans="2:6" ht="45.75" thickBot="1" x14ac:dyDescent="0.3">
      <c r="B757" s="99" t="s">
        <v>46</v>
      </c>
      <c r="C757" s="98"/>
      <c r="D757" s="93"/>
      <c r="E757" s="93"/>
      <c r="F757" s="93"/>
    </row>
    <row r="758" spans="2:6" ht="15.75" thickBot="1" x14ac:dyDescent="0.3">
      <c r="B758" s="100" t="s">
        <v>30</v>
      </c>
      <c r="C758" s="110">
        <v>8660</v>
      </c>
      <c r="D758" s="110">
        <v>12110</v>
      </c>
      <c r="E758" s="110">
        <v>13000</v>
      </c>
      <c r="F758" s="110">
        <v>11800</v>
      </c>
    </row>
    <row r="759" spans="2:6" ht="30.75" thickBot="1" x14ac:dyDescent="0.3">
      <c r="B759" s="99" t="s">
        <v>31</v>
      </c>
      <c r="C759" s="98"/>
      <c r="D759" s="93"/>
      <c r="E759" s="93"/>
      <c r="F759" s="93"/>
    </row>
    <row r="760" spans="2:6" ht="30.75" thickBot="1" x14ac:dyDescent="0.3">
      <c r="B760" s="99" t="s">
        <v>47</v>
      </c>
      <c r="C760" s="98"/>
      <c r="D760" s="93"/>
      <c r="E760" s="93"/>
      <c r="F760" s="93"/>
    </row>
    <row r="761" spans="2:6" ht="15.75" thickBot="1" x14ac:dyDescent="0.3">
      <c r="B761" s="100" t="s">
        <v>32</v>
      </c>
      <c r="C761" s="98"/>
      <c r="D761" s="93"/>
      <c r="E761" s="93"/>
      <c r="F761" s="93"/>
    </row>
    <row r="762" spans="2:6" ht="30.75" thickBot="1" x14ac:dyDescent="0.3">
      <c r="B762" s="99" t="s">
        <v>33</v>
      </c>
      <c r="C762" s="98"/>
      <c r="D762" s="93"/>
      <c r="E762" s="93"/>
      <c r="F762" s="93"/>
    </row>
    <row r="763" spans="2:6" ht="30.75" thickBot="1" x14ac:dyDescent="0.3">
      <c r="B763" s="99" t="s">
        <v>48</v>
      </c>
      <c r="C763" s="98"/>
      <c r="D763" s="93"/>
      <c r="E763" s="93"/>
      <c r="F763" s="93"/>
    </row>
    <row r="764" spans="2:6" ht="15.75" thickBot="1" x14ac:dyDescent="0.3">
      <c r="B764" s="100" t="s">
        <v>34</v>
      </c>
      <c r="C764" s="98"/>
      <c r="D764" s="93"/>
      <c r="E764" s="93"/>
      <c r="F764" s="93"/>
    </row>
    <row r="765" spans="2:6" ht="30.75" thickBot="1" x14ac:dyDescent="0.3">
      <c r="B765" s="99" t="s">
        <v>35</v>
      </c>
      <c r="C765" s="98"/>
      <c r="D765" s="93"/>
      <c r="E765" s="93"/>
      <c r="F765" s="93"/>
    </row>
    <row r="766" spans="2:6" ht="30.75" thickBot="1" x14ac:dyDescent="0.3">
      <c r="B766" s="99" t="s">
        <v>49</v>
      </c>
      <c r="C766" s="98"/>
      <c r="D766" s="93"/>
      <c r="E766" s="93"/>
      <c r="F766" s="93"/>
    </row>
    <row r="767" spans="2:6" ht="15.75" thickBot="1" x14ac:dyDescent="0.3">
      <c r="B767" s="100" t="s">
        <v>36</v>
      </c>
      <c r="C767" s="98"/>
      <c r="D767" s="93"/>
      <c r="E767" s="93"/>
      <c r="F767" s="93"/>
    </row>
    <row r="768" spans="2:6" ht="30.75" thickBot="1" x14ac:dyDescent="0.3">
      <c r="B768" s="99" t="s">
        <v>37</v>
      </c>
      <c r="C768" s="98"/>
      <c r="D768" s="93"/>
      <c r="E768" s="93"/>
      <c r="F768" s="93"/>
    </row>
    <row r="769" spans="2:6" ht="30.75" thickBot="1" x14ac:dyDescent="0.3">
      <c r="B769" s="99" t="s">
        <v>50</v>
      </c>
      <c r="C769" s="98"/>
      <c r="D769" s="93"/>
      <c r="E769" s="93"/>
      <c r="F769" s="93"/>
    </row>
    <row r="770" spans="2:6" ht="15.75" thickBot="1" x14ac:dyDescent="0.3">
      <c r="B770" s="100" t="s">
        <v>38</v>
      </c>
      <c r="C770" s="98"/>
      <c r="D770" s="93"/>
      <c r="E770" s="93"/>
      <c r="F770" s="93"/>
    </row>
    <row r="771" spans="2:6" ht="45.75" thickBot="1" x14ac:dyDescent="0.3">
      <c r="B771" s="99" t="s">
        <v>39</v>
      </c>
      <c r="C771" s="98"/>
      <c r="D771" s="93"/>
      <c r="E771" s="93"/>
      <c r="F771" s="93"/>
    </row>
    <row r="772" spans="2:6" ht="45.75" thickBot="1" x14ac:dyDescent="0.3">
      <c r="B772" s="99" t="s">
        <v>51</v>
      </c>
      <c r="C772" s="98"/>
      <c r="D772" s="93"/>
      <c r="E772" s="93"/>
      <c r="F772" s="93"/>
    </row>
    <row r="773" spans="2:6" ht="29.25" thickBot="1" x14ac:dyDescent="0.3">
      <c r="B773" s="109" t="s">
        <v>71</v>
      </c>
      <c r="C773" s="108">
        <f>C770+C767+C764+C761+C758+C755+C752</f>
        <v>8660</v>
      </c>
      <c r="D773" s="108">
        <f>D770+D767+D764+D761+D758+D755+D752</f>
        <v>12110</v>
      </c>
      <c r="E773" s="108">
        <f>E770+E767+E764+E761+E758+E755+E752</f>
        <v>13000</v>
      </c>
      <c r="F773" s="108">
        <f>F770+F767+F764+F761+F758+F755+F752</f>
        <v>11800</v>
      </c>
    </row>
    <row r="774" spans="2:6" x14ac:dyDescent="0.25">
      <c r="B774" s="815" t="s">
        <v>119</v>
      </c>
      <c r="C774" s="817" t="s">
        <v>23</v>
      </c>
      <c r="D774" s="817"/>
      <c r="E774" s="817"/>
      <c r="F774" s="818"/>
    </row>
    <row r="775" spans="2:6" x14ac:dyDescent="0.25">
      <c r="B775" s="816"/>
      <c r="C775" s="819"/>
      <c r="D775" s="819"/>
      <c r="E775" s="819"/>
      <c r="F775" s="820"/>
    </row>
    <row r="776" spans="2:6" ht="15.75" thickBot="1" x14ac:dyDescent="0.3">
      <c r="B776" s="821"/>
      <c r="C776" s="822"/>
      <c r="D776" s="822"/>
      <c r="E776" s="822"/>
      <c r="F776" s="823"/>
    </row>
    <row r="777" spans="2:6" ht="15.75" thickBot="1" x14ac:dyDescent="0.3">
      <c r="B777" s="96" t="s">
        <v>41</v>
      </c>
      <c r="C777" s="95">
        <f>IF(C773-C742=0,0,"Error")</f>
        <v>0</v>
      </c>
      <c r="D777" s="95">
        <f>IF(D773-D742=0,0,"Error")</f>
        <v>0</v>
      </c>
      <c r="E777" s="95">
        <f>IF(E773-E742=0,0,"Error")</f>
        <v>0</v>
      </c>
      <c r="F777" s="95">
        <f>IF(F773-F742=0,0,"Error")</f>
        <v>0</v>
      </c>
    </row>
    <row r="778" spans="2:6" ht="15.75" thickBot="1" x14ac:dyDescent="0.3">
      <c r="B778" s="367"/>
      <c r="C778" s="368"/>
      <c r="D778" s="368"/>
      <c r="E778" s="368"/>
      <c r="F778" s="368"/>
    </row>
    <row r="779" spans="2:6" ht="44.25" customHeight="1" thickBot="1" x14ac:dyDescent="0.3">
      <c r="B779" s="360" t="s">
        <v>80</v>
      </c>
      <c r="C779" s="824" t="s">
        <v>618</v>
      </c>
      <c r="D779" s="825"/>
      <c r="E779" s="825"/>
      <c r="F779" s="826"/>
    </row>
    <row r="780" spans="2:6" ht="15.75" thickBot="1" x14ac:dyDescent="0.3">
      <c r="B780" s="804" t="s">
        <v>81</v>
      </c>
      <c r="C780" s="805"/>
      <c r="D780" s="805"/>
      <c r="E780" s="805"/>
      <c r="F780" s="806"/>
    </row>
    <row r="781" spans="2:6" ht="30.75" thickBot="1" x14ac:dyDescent="0.3">
      <c r="B781" s="149" t="s">
        <v>617</v>
      </c>
      <c r="C781" s="117" t="s">
        <v>116</v>
      </c>
      <c r="D781" s="117" t="s">
        <v>117</v>
      </c>
      <c r="E781" s="117" t="s">
        <v>117</v>
      </c>
      <c r="F781" s="117" t="s">
        <v>117</v>
      </c>
    </row>
    <row r="782" spans="2:6" ht="15.75" thickBot="1" x14ac:dyDescent="0.3">
      <c r="B782" s="827" t="s">
        <v>616</v>
      </c>
      <c r="C782" s="828"/>
      <c r="D782" s="828"/>
      <c r="E782" s="828"/>
      <c r="F782" s="829"/>
    </row>
    <row r="783" spans="2:6" ht="15.75" thickBot="1" x14ac:dyDescent="0.3">
      <c r="B783" s="830" t="s">
        <v>70</v>
      </c>
      <c r="C783" s="831"/>
      <c r="D783" s="831"/>
      <c r="E783" s="831"/>
      <c r="F783" s="832"/>
    </row>
    <row r="784" spans="2:6" x14ac:dyDescent="0.25">
      <c r="B784" s="810"/>
      <c r="C784" s="112">
        <v>2018</v>
      </c>
      <c r="D784" s="112">
        <v>2019</v>
      </c>
      <c r="E784" s="112">
        <v>2020</v>
      </c>
      <c r="F784" s="112">
        <v>2021</v>
      </c>
    </row>
    <row r="785" spans="2:6" ht="15.75" thickBot="1" x14ac:dyDescent="0.3">
      <c r="B785" s="811"/>
      <c r="C785" s="111" t="s">
        <v>10</v>
      </c>
      <c r="D785" s="111" t="s">
        <v>11</v>
      </c>
      <c r="E785" s="111" t="s">
        <v>11</v>
      </c>
      <c r="F785" s="111" t="s">
        <v>11</v>
      </c>
    </row>
    <row r="786" spans="2:6" ht="15.75" thickBot="1" x14ac:dyDescent="0.3">
      <c r="B786" s="116" t="s">
        <v>16</v>
      </c>
      <c r="C786" s="833" t="s">
        <v>615</v>
      </c>
      <c r="D786" s="834"/>
      <c r="E786" s="834"/>
      <c r="F786" s="835"/>
    </row>
    <row r="787" spans="2:6" ht="15.75" thickBot="1" x14ac:dyDescent="0.3">
      <c r="B787" s="114" t="s">
        <v>17</v>
      </c>
      <c r="C787" s="804" t="s">
        <v>614</v>
      </c>
      <c r="D787" s="805"/>
      <c r="E787" s="805"/>
      <c r="F787" s="806"/>
    </row>
    <row r="788" spans="2:6" ht="15.75" thickBot="1" x14ac:dyDescent="0.3">
      <c r="B788" s="114" t="s">
        <v>18</v>
      </c>
      <c r="C788" s="807" t="s">
        <v>613</v>
      </c>
      <c r="D788" s="808"/>
      <c r="E788" s="808"/>
      <c r="F788" s="809"/>
    </row>
    <row r="789" spans="2:6" x14ac:dyDescent="0.25">
      <c r="B789" s="810"/>
      <c r="C789" s="112">
        <v>2018</v>
      </c>
      <c r="D789" s="112">
        <v>2019</v>
      </c>
      <c r="E789" s="112">
        <v>2020</v>
      </c>
      <c r="F789" s="112">
        <v>2021</v>
      </c>
    </row>
    <row r="790" spans="2:6" ht="15.75" thickBot="1" x14ac:dyDescent="0.3">
      <c r="B790" s="811"/>
      <c r="C790" s="111" t="s">
        <v>10</v>
      </c>
      <c r="D790" s="111" t="s">
        <v>11</v>
      </c>
      <c r="E790" s="111" t="s">
        <v>11</v>
      </c>
      <c r="F790" s="111" t="s">
        <v>11</v>
      </c>
    </row>
    <row r="791" spans="2:6" ht="15.75" thickBot="1" x14ac:dyDescent="0.3">
      <c r="B791" s="114" t="s">
        <v>19</v>
      </c>
      <c r="C791" s="115"/>
      <c r="D791" s="110"/>
      <c r="E791" s="110"/>
      <c r="F791" s="110"/>
    </row>
    <row r="792" spans="2:6" ht="15.75" thickBot="1" x14ac:dyDescent="0.3">
      <c r="B792" s="114" t="s">
        <v>20</v>
      </c>
      <c r="C792" s="115">
        <f>C823</f>
        <v>26594</v>
      </c>
      <c r="D792" s="115">
        <f>D823</f>
        <v>28218</v>
      </c>
      <c r="E792" s="115">
        <f>E823</f>
        <v>28218</v>
      </c>
      <c r="F792" s="115">
        <f>F823</f>
        <v>29864</v>
      </c>
    </row>
    <row r="793" spans="2:6" ht="15.75" thickBot="1" x14ac:dyDescent="0.3">
      <c r="B793" s="114" t="s">
        <v>21</v>
      </c>
      <c r="C793" s="115" t="e">
        <f>C792/C791</f>
        <v>#DIV/0!</v>
      </c>
      <c r="D793" s="115" t="e">
        <f>D792/D791</f>
        <v>#DIV/0!</v>
      </c>
      <c r="E793" s="115" t="e">
        <f>E792/E791</f>
        <v>#DIV/0!</v>
      </c>
      <c r="F793" s="115" t="e">
        <f>F792/F791</f>
        <v>#DIV/0!</v>
      </c>
    </row>
    <row r="794" spans="2:6" ht="15.75" thickBot="1" x14ac:dyDescent="0.3">
      <c r="B794" s="114" t="s">
        <v>22</v>
      </c>
      <c r="C794" s="148"/>
      <c r="D794" s="113" t="e">
        <f t="shared" ref="D794:F796" si="56">D791/C791-1</f>
        <v>#DIV/0!</v>
      </c>
      <c r="E794" s="113" t="e">
        <f t="shared" si="56"/>
        <v>#DIV/0!</v>
      </c>
      <c r="F794" s="113" t="e">
        <f t="shared" si="56"/>
        <v>#DIV/0!</v>
      </c>
    </row>
    <row r="795" spans="2:6" ht="15.75" thickBot="1" x14ac:dyDescent="0.3">
      <c r="B795" s="114" t="s">
        <v>24</v>
      </c>
      <c r="C795" s="148"/>
      <c r="D795" s="113">
        <f t="shared" si="56"/>
        <v>6.1066405956230696E-2</v>
      </c>
      <c r="E795" s="113">
        <f t="shared" si="56"/>
        <v>0</v>
      </c>
      <c r="F795" s="113">
        <f t="shared" si="56"/>
        <v>5.8331561414699751E-2</v>
      </c>
    </row>
    <row r="796" spans="2:6" ht="15.75" thickBot="1" x14ac:dyDescent="0.3">
      <c r="B796" s="114" t="s">
        <v>25</v>
      </c>
      <c r="C796" s="148"/>
      <c r="D796" s="113" t="e">
        <f t="shared" si="56"/>
        <v>#DIV/0!</v>
      </c>
      <c r="E796" s="113" t="e">
        <f t="shared" si="56"/>
        <v>#DIV/0!</v>
      </c>
      <c r="F796" s="113" t="e">
        <f t="shared" si="56"/>
        <v>#DIV/0!</v>
      </c>
    </row>
    <row r="797" spans="2:6" x14ac:dyDescent="0.25">
      <c r="B797" s="810"/>
      <c r="C797" s="112">
        <v>2018</v>
      </c>
      <c r="D797" s="112">
        <v>2019</v>
      </c>
      <c r="E797" s="112">
        <v>2020</v>
      </c>
      <c r="F797" s="112">
        <v>2021</v>
      </c>
    </row>
    <row r="798" spans="2:6" ht="15.75" thickBot="1" x14ac:dyDescent="0.3">
      <c r="B798" s="811"/>
      <c r="C798" s="111" t="s">
        <v>10</v>
      </c>
      <c r="D798" s="111" t="s">
        <v>11</v>
      </c>
      <c r="E798" s="111" t="s">
        <v>11</v>
      </c>
      <c r="F798" s="111" t="s">
        <v>11</v>
      </c>
    </row>
    <row r="799" spans="2:6" ht="15.75" thickBot="1" x14ac:dyDescent="0.3">
      <c r="B799" s="812" t="s">
        <v>612</v>
      </c>
      <c r="C799" s="813"/>
      <c r="D799" s="813"/>
      <c r="E799" s="813"/>
      <c r="F799" s="814"/>
    </row>
    <row r="800" spans="2:6" x14ac:dyDescent="0.25">
      <c r="B800" s="810"/>
      <c r="C800" s="112">
        <v>2018</v>
      </c>
      <c r="D800" s="112">
        <v>2019</v>
      </c>
      <c r="E800" s="112">
        <v>2020</v>
      </c>
      <c r="F800" s="112">
        <v>2021</v>
      </c>
    </row>
    <row r="801" spans="2:6" ht="15.75" thickBot="1" x14ac:dyDescent="0.3">
      <c r="B801" s="811"/>
      <c r="C801" s="111" t="s">
        <v>10</v>
      </c>
      <c r="D801" s="111" t="s">
        <v>11</v>
      </c>
      <c r="E801" s="111" t="s">
        <v>11</v>
      </c>
      <c r="F801" s="111" t="s">
        <v>11</v>
      </c>
    </row>
    <row r="802" spans="2:6" ht="15.75" thickBot="1" x14ac:dyDescent="0.3">
      <c r="B802" s="100" t="s">
        <v>26</v>
      </c>
      <c r="C802" s="93">
        <v>22487</v>
      </c>
      <c r="D802" s="93">
        <v>23611</v>
      </c>
      <c r="E802" s="93">
        <v>23611</v>
      </c>
      <c r="F802" s="93">
        <v>25264</v>
      </c>
    </row>
    <row r="803" spans="2:6" ht="30.75" thickBot="1" x14ac:dyDescent="0.3">
      <c r="B803" s="99" t="s">
        <v>27</v>
      </c>
      <c r="C803" s="98"/>
      <c r="D803" s="97"/>
      <c r="E803" s="97"/>
      <c r="F803" s="97"/>
    </row>
    <row r="804" spans="2:6" ht="30.75" thickBot="1" x14ac:dyDescent="0.3">
      <c r="B804" s="99" t="s">
        <v>45</v>
      </c>
      <c r="C804" s="98"/>
      <c r="D804" s="97"/>
      <c r="E804" s="97"/>
      <c r="F804" s="97"/>
    </row>
    <row r="805" spans="2:6" ht="15.75" thickBot="1" x14ac:dyDescent="0.3">
      <c r="B805" s="100" t="s">
        <v>28</v>
      </c>
      <c r="C805" s="93">
        <v>3607</v>
      </c>
      <c r="D805" s="93">
        <v>3907</v>
      </c>
      <c r="E805" s="93">
        <v>3907</v>
      </c>
      <c r="F805" s="93">
        <v>4200</v>
      </c>
    </row>
    <row r="806" spans="2:6" ht="45.75" thickBot="1" x14ac:dyDescent="0.3">
      <c r="B806" s="99" t="s">
        <v>29</v>
      </c>
      <c r="C806" s="98"/>
      <c r="D806" s="93"/>
      <c r="E806" s="93"/>
      <c r="F806" s="93"/>
    </row>
    <row r="807" spans="2:6" ht="45.75" thickBot="1" x14ac:dyDescent="0.3">
      <c r="B807" s="99" t="s">
        <v>46</v>
      </c>
      <c r="C807" s="98"/>
      <c r="D807" s="93"/>
      <c r="E807" s="93"/>
      <c r="F807" s="93"/>
    </row>
    <row r="808" spans="2:6" ht="15.75" thickBot="1" x14ac:dyDescent="0.3">
      <c r="B808" s="100" t="s">
        <v>30</v>
      </c>
      <c r="C808" s="110">
        <v>500</v>
      </c>
      <c r="D808" s="110">
        <v>700</v>
      </c>
      <c r="E808" s="110">
        <v>700</v>
      </c>
      <c r="F808" s="110">
        <v>400</v>
      </c>
    </row>
    <row r="809" spans="2:6" ht="30.75" thickBot="1" x14ac:dyDescent="0.3">
      <c r="B809" s="99" t="s">
        <v>31</v>
      </c>
      <c r="C809" s="98"/>
      <c r="D809" s="93"/>
      <c r="E809" s="93"/>
      <c r="F809" s="93"/>
    </row>
    <row r="810" spans="2:6" ht="30.75" thickBot="1" x14ac:dyDescent="0.3">
      <c r="B810" s="99" t="s">
        <v>47</v>
      </c>
      <c r="C810" s="98"/>
      <c r="D810" s="93"/>
      <c r="E810" s="93"/>
      <c r="F810" s="93"/>
    </row>
    <row r="811" spans="2:6" ht="15.75" thickBot="1" x14ac:dyDescent="0.3">
      <c r="B811" s="100" t="s">
        <v>32</v>
      </c>
      <c r="C811" s="98"/>
      <c r="D811" s="93"/>
      <c r="E811" s="93"/>
      <c r="F811" s="93"/>
    </row>
    <row r="812" spans="2:6" ht="30.75" thickBot="1" x14ac:dyDescent="0.3">
      <c r="B812" s="99" t="s">
        <v>33</v>
      </c>
      <c r="C812" s="98"/>
      <c r="D812" s="93"/>
      <c r="E812" s="93"/>
      <c r="F812" s="93"/>
    </row>
    <row r="813" spans="2:6" ht="30.75" thickBot="1" x14ac:dyDescent="0.3">
      <c r="B813" s="99" t="s">
        <v>48</v>
      </c>
      <c r="C813" s="98"/>
      <c r="D813" s="93"/>
      <c r="E813" s="93"/>
      <c r="F813" s="93"/>
    </row>
    <row r="814" spans="2:6" ht="15.75" thickBot="1" x14ac:dyDescent="0.3">
      <c r="B814" s="100" t="s">
        <v>34</v>
      </c>
      <c r="C814" s="98"/>
      <c r="D814" s="93"/>
      <c r="E814" s="93"/>
      <c r="F814" s="93"/>
    </row>
    <row r="815" spans="2:6" ht="30.75" thickBot="1" x14ac:dyDescent="0.3">
      <c r="B815" s="99" t="s">
        <v>35</v>
      </c>
      <c r="C815" s="98"/>
      <c r="D815" s="93"/>
      <c r="E815" s="93"/>
      <c r="F815" s="93"/>
    </row>
    <row r="816" spans="2:6" ht="30.75" thickBot="1" x14ac:dyDescent="0.3">
      <c r="B816" s="99" t="s">
        <v>49</v>
      </c>
      <c r="C816" s="98"/>
      <c r="D816" s="93"/>
      <c r="E816" s="93"/>
      <c r="F816" s="93"/>
    </row>
    <row r="817" spans="2:6" ht="15.75" thickBot="1" x14ac:dyDescent="0.3">
      <c r="B817" s="100" t="s">
        <v>36</v>
      </c>
      <c r="C817" s="98"/>
      <c r="D817" s="93"/>
      <c r="E817" s="93"/>
      <c r="F817" s="93"/>
    </row>
    <row r="818" spans="2:6" ht="30.75" thickBot="1" x14ac:dyDescent="0.3">
      <c r="B818" s="99" t="s">
        <v>37</v>
      </c>
      <c r="C818" s="98"/>
      <c r="D818" s="93"/>
      <c r="E818" s="93"/>
      <c r="F818" s="93"/>
    </row>
    <row r="819" spans="2:6" ht="30.75" thickBot="1" x14ac:dyDescent="0.3">
      <c r="B819" s="99" t="s">
        <v>50</v>
      </c>
      <c r="C819" s="98"/>
      <c r="D819" s="93"/>
      <c r="E819" s="93"/>
      <c r="F819" s="93"/>
    </row>
    <row r="820" spans="2:6" ht="15.75" thickBot="1" x14ac:dyDescent="0.3">
      <c r="B820" s="100" t="s">
        <v>38</v>
      </c>
      <c r="C820" s="98"/>
      <c r="D820" s="93"/>
      <c r="E820" s="93"/>
      <c r="F820" s="93"/>
    </row>
    <row r="821" spans="2:6" ht="45.75" thickBot="1" x14ac:dyDescent="0.3">
      <c r="B821" s="99" t="s">
        <v>39</v>
      </c>
      <c r="C821" s="98"/>
      <c r="D821" s="93"/>
      <c r="E821" s="93"/>
      <c r="F821" s="93"/>
    </row>
    <row r="822" spans="2:6" ht="45.75" thickBot="1" x14ac:dyDescent="0.3">
      <c r="B822" s="99" t="s">
        <v>51</v>
      </c>
      <c r="C822" s="98"/>
      <c r="D822" s="93"/>
      <c r="E822" s="93"/>
      <c r="F822" s="93"/>
    </row>
    <row r="823" spans="2:6" ht="29.25" thickBot="1" x14ac:dyDescent="0.3">
      <c r="B823" s="109" t="s">
        <v>71</v>
      </c>
      <c r="C823" s="108">
        <f>C820+C817+C814+C811+C808+C805+C802</f>
        <v>26594</v>
      </c>
      <c r="D823" s="108">
        <f>D820+D817+D814+D811+D808+D805+D802</f>
        <v>28218</v>
      </c>
      <c r="E823" s="108">
        <f>E820+E817+E814+E811+E808+E805+E802</f>
        <v>28218</v>
      </c>
      <c r="F823" s="108">
        <f>F820+F817+F814+F811+F808+F805+F802</f>
        <v>29864</v>
      </c>
    </row>
    <row r="824" spans="2:6" x14ac:dyDescent="0.25">
      <c r="B824" s="815" t="s">
        <v>119</v>
      </c>
      <c r="C824" s="817" t="s">
        <v>23</v>
      </c>
      <c r="D824" s="817"/>
      <c r="E824" s="817"/>
      <c r="F824" s="818"/>
    </row>
    <row r="825" spans="2:6" x14ac:dyDescent="0.25">
      <c r="B825" s="816"/>
      <c r="C825" s="819"/>
      <c r="D825" s="819"/>
      <c r="E825" s="819"/>
      <c r="F825" s="820"/>
    </row>
    <row r="826" spans="2:6" ht="15.75" thickBot="1" x14ac:dyDescent="0.3">
      <c r="B826" s="816"/>
      <c r="C826" s="819"/>
      <c r="D826" s="819"/>
      <c r="E826" s="819"/>
      <c r="F826" s="820"/>
    </row>
    <row r="827" spans="2:6" ht="15.75" thickBot="1" x14ac:dyDescent="0.3">
      <c r="B827" s="364" t="s">
        <v>41</v>
      </c>
      <c r="C827" s="365">
        <f>IF(C823-C792=0,0,"Error")</f>
        <v>0</v>
      </c>
      <c r="D827" s="365">
        <f>IF(D823-D792=0,0,"Error")</f>
        <v>0</v>
      </c>
      <c r="E827" s="365">
        <f>IF(E823-E792=0,0,"Error")</f>
        <v>0</v>
      </c>
      <c r="F827" s="366">
        <f>IF(F823-F792=0,0,"Error")</f>
        <v>0</v>
      </c>
    </row>
    <row r="828" spans="2:6" ht="15.75" thickBot="1" x14ac:dyDescent="0.3">
      <c r="B828" s="107"/>
      <c r="C828" s="106"/>
      <c r="D828" s="106"/>
      <c r="E828" s="106"/>
      <c r="F828" s="106"/>
    </row>
    <row r="829" spans="2:6" ht="29.25" thickBot="1" x14ac:dyDescent="0.3">
      <c r="B829" s="105" t="s">
        <v>82</v>
      </c>
      <c r="C829" s="104">
        <f>C416+C512+C554+C691+C742+C792</f>
        <v>685800</v>
      </c>
      <c r="D829" s="104">
        <f>D416+D512+D554+D691+D742+D792</f>
        <v>701160</v>
      </c>
      <c r="E829" s="104">
        <f>E416+E512+E554+E691+E742+E792</f>
        <v>708172</v>
      </c>
      <c r="F829" s="104">
        <f>F416+F512+F554+F691+F742+F792</f>
        <v>722335</v>
      </c>
    </row>
    <row r="830" spans="2:6" ht="29.25" thickBot="1" x14ac:dyDescent="0.3">
      <c r="B830" s="105" t="s">
        <v>83</v>
      </c>
      <c r="C830" s="104">
        <f>C832+C834+C836+C842</f>
        <v>685800</v>
      </c>
      <c r="D830" s="104">
        <f>D832+D834+D836+D842</f>
        <v>701160</v>
      </c>
      <c r="E830" s="104">
        <f>E832+E834+E836+E842</f>
        <v>708172</v>
      </c>
      <c r="F830" s="104">
        <f>F832+F834+F836+F842</f>
        <v>722335</v>
      </c>
    </row>
    <row r="831" spans="2:6" ht="30.75" thickBot="1" x14ac:dyDescent="0.3">
      <c r="B831" s="103" t="s">
        <v>84</v>
      </c>
      <c r="C831" s="102"/>
      <c r="D831" s="101">
        <f>D830/C830-1</f>
        <v>2.2397200349956181E-2</v>
      </c>
      <c r="E831" s="101">
        <f>E830/D830-1</f>
        <v>1.0000570483199356E-2</v>
      </c>
      <c r="F831" s="101">
        <f>F830/E830-1</f>
        <v>1.9999378682015179E-2</v>
      </c>
    </row>
    <row r="832" spans="2:6" ht="15.75" thickBot="1" x14ac:dyDescent="0.3">
      <c r="B832" s="100" t="s">
        <v>26</v>
      </c>
      <c r="C832" s="93">
        <f>C424+C522+C562+C701+C752+C802</f>
        <v>332000</v>
      </c>
      <c r="D832" s="93">
        <f>D424+D522+D562+D701+D752+D802</f>
        <v>335000</v>
      </c>
      <c r="E832" s="93">
        <f>E424+E522+E562+E701+E752+E802</f>
        <v>335000</v>
      </c>
      <c r="F832" s="93">
        <f>F424+F522+F562+F701+F752+F802</f>
        <v>352000</v>
      </c>
    </row>
    <row r="833" spans="2:6" ht="15.75" thickBot="1" x14ac:dyDescent="0.3">
      <c r="B833" s="99" t="s">
        <v>85</v>
      </c>
      <c r="C833" s="98"/>
      <c r="D833" s="97">
        <f>D832/C832-1</f>
        <v>9.0361445783131433E-3</v>
      </c>
      <c r="E833" s="97">
        <f>E832/D832-1</f>
        <v>0</v>
      </c>
      <c r="F833" s="97">
        <f>F832/E832-1</f>
        <v>5.0746268656716387E-2</v>
      </c>
    </row>
    <row r="834" spans="2:6" ht="15.75" thickBot="1" x14ac:dyDescent="0.3">
      <c r="B834" s="100" t="s">
        <v>28</v>
      </c>
      <c r="C834" s="93">
        <f>C427+C805</f>
        <v>47000</v>
      </c>
      <c r="D834" s="93">
        <f>D427+D805</f>
        <v>47000</v>
      </c>
      <c r="E834" s="93">
        <f>E427+E805</f>
        <v>47000</v>
      </c>
      <c r="F834" s="93">
        <f>F427+F805</f>
        <v>48000</v>
      </c>
    </row>
    <row r="835" spans="2:6" ht="30.75" thickBot="1" x14ac:dyDescent="0.3">
      <c r="B835" s="99" t="s">
        <v>86</v>
      </c>
      <c r="C835" s="98"/>
      <c r="D835" s="97">
        <f>D834/C834-1</f>
        <v>0</v>
      </c>
      <c r="E835" s="97">
        <f>E834/D834-1</f>
        <v>0</v>
      </c>
      <c r="F835" s="97">
        <f>F834/E834-1</f>
        <v>2.1276595744680771E-2</v>
      </c>
    </row>
    <row r="836" spans="2:6" ht="15.75" thickBot="1" x14ac:dyDescent="0.3">
      <c r="B836" s="100" t="s">
        <v>30</v>
      </c>
      <c r="C836" s="93">
        <f>C430+C528+C568+C707+C758+C808</f>
        <v>292000</v>
      </c>
      <c r="D836" s="93">
        <f>D430+D528+D568+D707+D758+D808</f>
        <v>303160</v>
      </c>
      <c r="E836" s="93">
        <f>E430+E528+E568+E707+E758+E808</f>
        <v>310172</v>
      </c>
      <c r="F836" s="93">
        <f>F430+F528+F568+F707+F758+F808</f>
        <v>306335</v>
      </c>
    </row>
    <row r="837" spans="2:6" ht="15.75" thickBot="1" x14ac:dyDescent="0.3">
      <c r="B837" s="99" t="s">
        <v>87</v>
      </c>
      <c r="C837" s="98"/>
      <c r="D837" s="97">
        <f>D836/C836-1</f>
        <v>3.8219178082191885E-2</v>
      </c>
      <c r="E837" s="97">
        <f>E836/D836-1</f>
        <v>2.3129700488190963E-2</v>
      </c>
      <c r="F837" s="97">
        <v>0</v>
      </c>
    </row>
    <row r="838" spans="2:6" ht="15.75" thickBot="1" x14ac:dyDescent="0.3">
      <c r="B838" s="100" t="s">
        <v>32</v>
      </c>
      <c r="C838" s="93"/>
      <c r="D838" s="93"/>
      <c r="E838" s="93"/>
      <c r="F838" s="93"/>
    </row>
    <row r="839" spans="2:6" ht="15.75" thickBot="1" x14ac:dyDescent="0.3">
      <c r="B839" s="99" t="s">
        <v>88</v>
      </c>
      <c r="C839" s="98"/>
      <c r="D839" s="97"/>
      <c r="E839" s="97"/>
      <c r="F839" s="97"/>
    </row>
    <row r="840" spans="2:6" ht="15.75" thickBot="1" x14ac:dyDescent="0.3">
      <c r="B840" s="100" t="s">
        <v>34</v>
      </c>
      <c r="C840" s="93"/>
      <c r="D840" s="93"/>
      <c r="E840" s="93"/>
      <c r="F840" s="93"/>
    </row>
    <row r="841" spans="2:6" ht="15.75" thickBot="1" x14ac:dyDescent="0.3">
      <c r="B841" s="99" t="s">
        <v>89</v>
      </c>
      <c r="C841" s="98"/>
      <c r="D841" s="97"/>
      <c r="E841" s="97"/>
      <c r="F841" s="97"/>
    </row>
    <row r="842" spans="2:6" ht="15.75" thickBot="1" x14ac:dyDescent="0.3">
      <c r="B842" s="100" t="s">
        <v>36</v>
      </c>
      <c r="C842" s="93">
        <f>C537</f>
        <v>14800</v>
      </c>
      <c r="D842" s="93">
        <f>D537</f>
        <v>16000</v>
      </c>
      <c r="E842" s="93">
        <f>E537</f>
        <v>16000</v>
      </c>
      <c r="F842" s="93">
        <f>F537</f>
        <v>16000</v>
      </c>
    </row>
    <row r="843" spans="2:6" ht="15.75" thickBot="1" x14ac:dyDescent="0.3">
      <c r="B843" s="99" t="s">
        <v>90</v>
      </c>
      <c r="C843" s="98"/>
      <c r="D843" s="97">
        <f>D842/C842-1</f>
        <v>8.1081081081081141E-2</v>
      </c>
      <c r="E843" s="97">
        <f>E842/D842-1</f>
        <v>0</v>
      </c>
      <c r="F843" s="97">
        <f>F842/E842-1</f>
        <v>0</v>
      </c>
    </row>
    <row r="844" spans="2:6" ht="15.75" thickBot="1" x14ac:dyDescent="0.3">
      <c r="B844" s="100" t="s">
        <v>38</v>
      </c>
      <c r="C844" s="93"/>
      <c r="D844" s="93"/>
      <c r="E844" s="93"/>
      <c r="F844" s="93"/>
    </row>
    <row r="845" spans="2:6" ht="30.75" thickBot="1" x14ac:dyDescent="0.3">
      <c r="B845" s="99" t="s">
        <v>91</v>
      </c>
      <c r="C845" s="98"/>
      <c r="D845" s="97"/>
      <c r="E845" s="97"/>
      <c r="F845" s="97"/>
    </row>
    <row r="846" spans="2:6" ht="15.75" thickBot="1" x14ac:dyDescent="0.3">
      <c r="B846" s="100" t="s">
        <v>92</v>
      </c>
      <c r="C846" s="93"/>
      <c r="D846" s="93"/>
      <c r="E846" s="93"/>
      <c r="F846" s="93"/>
    </row>
    <row r="847" spans="2:6" ht="15.75" thickBot="1" x14ac:dyDescent="0.3">
      <c r="B847" s="99" t="s">
        <v>93</v>
      </c>
      <c r="C847" s="98"/>
      <c r="D847" s="97"/>
      <c r="E847" s="97"/>
      <c r="F847" s="97"/>
    </row>
    <row r="848" spans="2:6" ht="15.75" thickBot="1" x14ac:dyDescent="0.3">
      <c r="B848" s="100" t="s">
        <v>94</v>
      </c>
      <c r="C848" s="93"/>
      <c r="D848" s="93"/>
      <c r="E848" s="93"/>
      <c r="F848" s="93"/>
    </row>
    <row r="849" spans="2:6" ht="15.75" thickBot="1" x14ac:dyDescent="0.3">
      <c r="B849" s="99" t="s">
        <v>95</v>
      </c>
      <c r="C849" s="98"/>
      <c r="D849" s="97"/>
      <c r="E849" s="97"/>
      <c r="F849" s="97"/>
    </row>
    <row r="850" spans="2:6" ht="15.75" thickBot="1" x14ac:dyDescent="0.3">
      <c r="B850" s="96" t="s">
        <v>41</v>
      </c>
      <c r="C850" s="95">
        <f>IF(C830-C829=0,0,"Error")</f>
        <v>0</v>
      </c>
      <c r="D850" s="95">
        <f>IF(D830-D829=0,0,"Error")</f>
        <v>0</v>
      </c>
      <c r="E850" s="95">
        <f>IF(E830-E829=0,0,"Error")</f>
        <v>0</v>
      </c>
      <c r="F850" s="95">
        <f>IF(F830-F829=0,0,"Error")</f>
        <v>0</v>
      </c>
    </row>
    <row r="851" spans="2:6" ht="29.25" thickBot="1" x14ac:dyDescent="0.3">
      <c r="B851" s="94" t="s">
        <v>96</v>
      </c>
      <c r="C851" s="93">
        <v>193</v>
      </c>
      <c r="D851" s="93">
        <v>193</v>
      </c>
      <c r="E851" s="93">
        <v>193</v>
      </c>
      <c r="F851" s="93">
        <v>193</v>
      </c>
    </row>
    <row r="852" spans="2:6" ht="29.25" thickBot="1" x14ac:dyDescent="0.3">
      <c r="B852" s="94" t="s">
        <v>97</v>
      </c>
      <c r="C852" s="93">
        <v>0</v>
      </c>
      <c r="D852" s="93">
        <v>0</v>
      </c>
      <c r="E852" s="93">
        <v>0</v>
      </c>
      <c r="F852" s="93">
        <v>0</v>
      </c>
    </row>
  </sheetData>
  <mergeCells count="282">
    <mergeCell ref="B2:F2"/>
    <mergeCell ref="C4:F4"/>
    <mergeCell ref="C5:F5"/>
    <mergeCell ref="C6:F6"/>
    <mergeCell ref="B7:F7"/>
    <mergeCell ref="B25:F25"/>
    <mergeCell ref="C26:F26"/>
    <mergeCell ref="C27:F27"/>
    <mergeCell ref="C28:F28"/>
    <mergeCell ref="B29:B30"/>
    <mergeCell ref="B37:F37"/>
    <mergeCell ref="B8:F10"/>
    <mergeCell ref="C11:F11"/>
    <mergeCell ref="B12:B13"/>
    <mergeCell ref="C19:F19"/>
    <mergeCell ref="B20:F20"/>
    <mergeCell ref="B24:F24"/>
    <mergeCell ref="B61:B62"/>
    <mergeCell ref="C72:F72"/>
    <mergeCell ref="C73:F73"/>
    <mergeCell ref="C74:F74"/>
    <mergeCell ref="B75:B76"/>
    <mergeCell ref="B83:F83"/>
    <mergeCell ref="B38:B39"/>
    <mergeCell ref="C49:F49"/>
    <mergeCell ref="C50:F50"/>
    <mergeCell ref="C51:F51"/>
    <mergeCell ref="B53:B54"/>
    <mergeCell ref="B60:F60"/>
    <mergeCell ref="C101:F101"/>
    <mergeCell ref="B102:B103"/>
    <mergeCell ref="B110:F110"/>
    <mergeCell ref="B111:B112"/>
    <mergeCell ref="B116:B118"/>
    <mergeCell ref="C116:F118"/>
    <mergeCell ref="B84:B85"/>
    <mergeCell ref="B96:F96"/>
    <mergeCell ref="B97:F97"/>
    <mergeCell ref="C98:F98"/>
    <mergeCell ref="C99:F99"/>
    <mergeCell ref="C100:F100"/>
    <mergeCell ref="B132:B133"/>
    <mergeCell ref="B137:F137"/>
    <mergeCell ref="B138:F138"/>
    <mergeCell ref="C139:F139"/>
    <mergeCell ref="C140:F140"/>
    <mergeCell ref="C141:F141"/>
    <mergeCell ref="C119:F119"/>
    <mergeCell ref="C120:F120"/>
    <mergeCell ref="C121:F121"/>
    <mergeCell ref="C122:F122"/>
    <mergeCell ref="B123:B124"/>
    <mergeCell ref="B131:F131"/>
    <mergeCell ref="C159:F159"/>
    <mergeCell ref="C160:F160"/>
    <mergeCell ref="B161:B162"/>
    <mergeCell ref="B169:F169"/>
    <mergeCell ref="B170:B171"/>
    <mergeCell ref="C175:F175"/>
    <mergeCell ref="C142:F142"/>
    <mergeCell ref="B143:B144"/>
    <mergeCell ref="B151:F151"/>
    <mergeCell ref="B152:B153"/>
    <mergeCell ref="C157:F157"/>
    <mergeCell ref="C158:F158"/>
    <mergeCell ref="C185:F185"/>
    <mergeCell ref="B186:B187"/>
    <mergeCell ref="B194:B195"/>
    <mergeCell ref="B196:F196"/>
    <mergeCell ref="B197:B198"/>
    <mergeCell ref="B208:F208"/>
    <mergeCell ref="B176:F176"/>
    <mergeCell ref="B179:F179"/>
    <mergeCell ref="B180:F180"/>
    <mergeCell ref="B181:B182"/>
    <mergeCell ref="C183:F183"/>
    <mergeCell ref="C184:F184"/>
    <mergeCell ref="B222:F222"/>
    <mergeCell ref="B223:B224"/>
    <mergeCell ref="C229:F229"/>
    <mergeCell ref="B230:F230"/>
    <mergeCell ref="B233:F233"/>
    <mergeCell ref="B234:F234"/>
    <mergeCell ref="B209:F209"/>
    <mergeCell ref="C210:F210"/>
    <mergeCell ref="C211:F211"/>
    <mergeCell ref="C212:F212"/>
    <mergeCell ref="C213:F213"/>
    <mergeCell ref="B214:B215"/>
    <mergeCell ref="C258:F258"/>
    <mergeCell ref="C259:F259"/>
    <mergeCell ref="C260:F260"/>
    <mergeCell ref="B262:B263"/>
    <mergeCell ref="B269:F269"/>
    <mergeCell ref="B270:B271"/>
    <mergeCell ref="C235:F235"/>
    <mergeCell ref="C236:F236"/>
    <mergeCell ref="C237:F237"/>
    <mergeCell ref="B238:B239"/>
    <mergeCell ref="B246:F246"/>
    <mergeCell ref="B247:B248"/>
    <mergeCell ref="B288:B289"/>
    <mergeCell ref="B296:F296"/>
    <mergeCell ref="B297:B298"/>
    <mergeCell ref="B302:B304"/>
    <mergeCell ref="C302:F304"/>
    <mergeCell ref="C305:F305"/>
    <mergeCell ref="B282:F282"/>
    <mergeCell ref="B283:F283"/>
    <mergeCell ref="C284:F284"/>
    <mergeCell ref="C285:F285"/>
    <mergeCell ref="C286:F286"/>
    <mergeCell ref="C287:F287"/>
    <mergeCell ref="C324:F324"/>
    <mergeCell ref="C325:F325"/>
    <mergeCell ref="B326:F326"/>
    <mergeCell ref="B328:F328"/>
    <mergeCell ref="B329:F329"/>
    <mergeCell ref="C330:F330"/>
    <mergeCell ref="C306:F306"/>
    <mergeCell ref="C307:F307"/>
    <mergeCell ref="C308:F308"/>
    <mergeCell ref="B309:B310"/>
    <mergeCell ref="B317:F317"/>
    <mergeCell ref="B318:B319"/>
    <mergeCell ref="B387:F387"/>
    <mergeCell ref="B381:F381"/>
    <mergeCell ref="B382:F382"/>
    <mergeCell ref="B383:F383"/>
    <mergeCell ref="B384:F384"/>
    <mergeCell ref="B385:F385"/>
    <mergeCell ref="B386:F386"/>
    <mergeCell ref="C331:F331"/>
    <mergeCell ref="C332:F332"/>
    <mergeCell ref="B333:B334"/>
    <mergeCell ref="B341:F341"/>
    <mergeCell ref="B342:B343"/>
    <mergeCell ref="C389:F389"/>
    <mergeCell ref="C390:F390"/>
    <mergeCell ref="C391:F391"/>
    <mergeCell ref="B392:F392"/>
    <mergeCell ref="B393:F395"/>
    <mergeCell ref="C396:F396"/>
    <mergeCell ref="B397:B398"/>
    <mergeCell ref="C404:F404"/>
    <mergeCell ref="B405:F405"/>
    <mergeCell ref="B408:F408"/>
    <mergeCell ref="B409:F409"/>
    <mergeCell ref="C410:F410"/>
    <mergeCell ref="C411:F411"/>
    <mergeCell ref="C412:F412"/>
    <mergeCell ref="B413:B414"/>
    <mergeCell ref="B421:F421"/>
    <mergeCell ref="B422:B423"/>
    <mergeCell ref="B446:B448"/>
    <mergeCell ref="C446:F448"/>
    <mergeCell ref="B450:B452"/>
    <mergeCell ref="C450:F452"/>
    <mergeCell ref="B453:F453"/>
    <mergeCell ref="B454:F454"/>
    <mergeCell ref="C455:F455"/>
    <mergeCell ref="C456:F456"/>
    <mergeCell ref="C457:F457"/>
    <mergeCell ref="C458:F458"/>
    <mergeCell ref="B459:B460"/>
    <mergeCell ref="B467:F467"/>
    <mergeCell ref="B468:B469"/>
    <mergeCell ref="B473:B475"/>
    <mergeCell ref="C473:F475"/>
    <mergeCell ref="C476:F476"/>
    <mergeCell ref="C477:F477"/>
    <mergeCell ref="C478:F478"/>
    <mergeCell ref="C479:F479"/>
    <mergeCell ref="B480:B481"/>
    <mergeCell ref="B488:F488"/>
    <mergeCell ref="B489:B490"/>
    <mergeCell ref="B494:B496"/>
    <mergeCell ref="C494:F496"/>
    <mergeCell ref="C497:F497"/>
    <mergeCell ref="B498:F498"/>
    <mergeCell ref="B502:F502"/>
    <mergeCell ref="B503:F503"/>
    <mergeCell ref="B504:B505"/>
    <mergeCell ref="C506:F506"/>
    <mergeCell ref="C507:F507"/>
    <mergeCell ref="C508:F508"/>
    <mergeCell ref="B509:B510"/>
    <mergeCell ref="B517:B518"/>
    <mergeCell ref="B519:F519"/>
    <mergeCell ref="B520:B521"/>
    <mergeCell ref="B544:B546"/>
    <mergeCell ref="C544:F546"/>
    <mergeCell ref="C548:F548"/>
    <mergeCell ref="C549:F549"/>
    <mergeCell ref="C550:F550"/>
    <mergeCell ref="B551:B552"/>
    <mergeCell ref="B559:F559"/>
    <mergeCell ref="B560:B561"/>
    <mergeCell ref="B584:B586"/>
    <mergeCell ref="C584:F586"/>
    <mergeCell ref="B588:F588"/>
    <mergeCell ref="B589:F589"/>
    <mergeCell ref="C590:F590"/>
    <mergeCell ref="C591:F591"/>
    <mergeCell ref="C592:F592"/>
    <mergeCell ref="C593:F593"/>
    <mergeCell ref="B594:B595"/>
    <mergeCell ref="B602:F602"/>
    <mergeCell ref="B603:B604"/>
    <mergeCell ref="B608:B610"/>
    <mergeCell ref="C608:F610"/>
    <mergeCell ref="C611:F611"/>
    <mergeCell ref="C612:F612"/>
    <mergeCell ref="C613:F613"/>
    <mergeCell ref="C614:F614"/>
    <mergeCell ref="B615:B616"/>
    <mergeCell ref="B623:F623"/>
    <mergeCell ref="B624:B625"/>
    <mergeCell ref="B629:B631"/>
    <mergeCell ref="C629:F631"/>
    <mergeCell ref="B632:F632"/>
    <mergeCell ref="B633:F633"/>
    <mergeCell ref="C634:F634"/>
    <mergeCell ref="C635:F635"/>
    <mergeCell ref="C636:F636"/>
    <mergeCell ref="C637:F637"/>
    <mergeCell ref="B638:B639"/>
    <mergeCell ref="B646:F646"/>
    <mergeCell ref="B647:B648"/>
    <mergeCell ref="B652:B654"/>
    <mergeCell ref="C652:F654"/>
    <mergeCell ref="C655:F655"/>
    <mergeCell ref="C656:F656"/>
    <mergeCell ref="C657:F657"/>
    <mergeCell ref="C658:F658"/>
    <mergeCell ref="B659:B660"/>
    <mergeCell ref="B667:F667"/>
    <mergeCell ref="B668:B669"/>
    <mergeCell ref="B673:B675"/>
    <mergeCell ref="C673:F675"/>
    <mergeCell ref="C677:F677"/>
    <mergeCell ref="B678:F678"/>
    <mergeCell ref="B681:F681"/>
    <mergeCell ref="B682:F682"/>
    <mergeCell ref="B683:B684"/>
    <mergeCell ref="C685:F685"/>
    <mergeCell ref="C686:F686"/>
    <mergeCell ref="C687:F687"/>
    <mergeCell ref="B688:B689"/>
    <mergeCell ref="B696:B697"/>
    <mergeCell ref="B698:F698"/>
    <mergeCell ref="B699:B700"/>
    <mergeCell ref="B723:B725"/>
    <mergeCell ref="C723:F725"/>
    <mergeCell ref="C728:F728"/>
    <mergeCell ref="B729:F729"/>
    <mergeCell ref="B732:F732"/>
    <mergeCell ref="B733:F733"/>
    <mergeCell ref="B734:B735"/>
    <mergeCell ref="C736:F736"/>
    <mergeCell ref="C737:F737"/>
    <mergeCell ref="C738:F738"/>
    <mergeCell ref="B739:B740"/>
    <mergeCell ref="B747:B748"/>
    <mergeCell ref="B749:F749"/>
    <mergeCell ref="C787:F787"/>
    <mergeCell ref="C788:F788"/>
    <mergeCell ref="B789:B790"/>
    <mergeCell ref="B797:B798"/>
    <mergeCell ref="B799:F799"/>
    <mergeCell ref="B800:B801"/>
    <mergeCell ref="B824:B826"/>
    <mergeCell ref="C824:F826"/>
    <mergeCell ref="B750:B751"/>
    <mergeCell ref="B774:B776"/>
    <mergeCell ref="C774:F776"/>
    <mergeCell ref="C779:F779"/>
    <mergeCell ref="B780:F780"/>
    <mergeCell ref="B782:F782"/>
    <mergeCell ref="B783:F783"/>
    <mergeCell ref="B784:B785"/>
    <mergeCell ref="C786:F786"/>
  </mergeCells>
  <printOptions horizontalCentered="1" verticalCentered="1"/>
  <pageMargins left="0.19685039370078741" right="0.70866141732283461" top="0.19685039370078741" bottom="0.19685039370078741" header="0.31496062992125984" footer="0.31496062992125984"/>
  <pageSetup paperSize="256" scale="56" fitToHeight="0" orientation="landscape" r:id="rId1"/>
  <rowBreaks count="2" manualBreakCount="2">
    <brk id="95" max="16383" man="1"/>
    <brk id="150" max="1638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466"/>
  <sheetViews>
    <sheetView topLeftCell="A301" zoomScale="130" zoomScaleNormal="130" workbookViewId="0">
      <selection activeCell="M7" sqref="M7"/>
    </sheetView>
  </sheetViews>
  <sheetFormatPr defaultRowHeight="15" x14ac:dyDescent="0.25"/>
  <cols>
    <col min="1" max="1" width="9.140625" style="152"/>
    <col min="2" max="2" width="38.140625" style="152" customWidth="1"/>
    <col min="3" max="3" width="17.5703125" style="152" customWidth="1"/>
    <col min="4" max="4" width="14.5703125" style="152" customWidth="1"/>
    <col min="5" max="5" width="17.42578125" style="152" customWidth="1"/>
    <col min="6" max="6" width="18.42578125" style="152" customWidth="1"/>
    <col min="7" max="7" width="9" style="152" customWidth="1"/>
    <col min="8" max="16384" width="9.140625" style="152"/>
  </cols>
  <sheetData>
    <row r="2" spans="2:6" ht="18" customHeight="1" thickBot="1" x14ac:dyDescent="0.3">
      <c r="B2" s="1072" t="s">
        <v>0</v>
      </c>
      <c r="C2" s="1072"/>
      <c r="D2" s="1072"/>
      <c r="E2" s="1072"/>
      <c r="F2" s="1072"/>
    </row>
    <row r="3" spans="2:6" ht="14.1" customHeight="1" thickBot="1" x14ac:dyDescent="0.3">
      <c r="B3" s="398"/>
      <c r="C3" s="399"/>
      <c r="D3" s="399"/>
      <c r="E3" s="399"/>
      <c r="F3" s="400"/>
    </row>
    <row r="4" spans="2:6" ht="24" customHeight="1" thickBot="1" x14ac:dyDescent="0.3">
      <c r="B4" s="401" t="s">
        <v>2</v>
      </c>
      <c r="C4" s="1501" t="s">
        <v>859</v>
      </c>
      <c r="D4" s="1502"/>
      <c r="E4" s="1502"/>
      <c r="F4" s="1503"/>
    </row>
    <row r="5" spans="2:6" ht="23.25" customHeight="1" thickBot="1" x14ac:dyDescent="0.3">
      <c r="B5" s="402" t="s">
        <v>3</v>
      </c>
      <c r="C5" s="1504" t="s">
        <v>4</v>
      </c>
      <c r="D5" s="1505"/>
      <c r="E5" s="1505"/>
      <c r="F5" s="1506"/>
    </row>
    <row r="6" spans="2:6" ht="27" customHeight="1" thickBot="1" x14ac:dyDescent="0.3">
      <c r="B6" s="402" t="s">
        <v>5</v>
      </c>
      <c r="C6" s="1027" t="s">
        <v>6</v>
      </c>
      <c r="D6" s="1028"/>
      <c r="E6" s="1028"/>
      <c r="F6" s="1507"/>
    </row>
    <row r="7" spans="2:6" ht="14.1" customHeight="1" thickBot="1" x14ac:dyDescent="0.3">
      <c r="B7" s="1508" t="s">
        <v>7</v>
      </c>
      <c r="C7" s="1509"/>
      <c r="D7" s="1509"/>
      <c r="E7" s="1509"/>
      <c r="F7" s="1510"/>
    </row>
    <row r="8" spans="2:6" ht="10.5" customHeight="1" thickBot="1" x14ac:dyDescent="0.3">
      <c r="B8" s="403"/>
      <c r="C8" s="397"/>
      <c r="D8" s="396"/>
      <c r="E8" s="397"/>
      <c r="F8" s="404"/>
    </row>
    <row r="9" spans="2:6" ht="110.25" customHeight="1" thickBot="1" x14ac:dyDescent="0.3">
      <c r="B9" s="1485" t="s">
        <v>860</v>
      </c>
      <c r="C9" s="1486"/>
      <c r="D9" s="1486"/>
      <c r="E9" s="1486"/>
      <c r="F9" s="1487"/>
    </row>
    <row r="10" spans="2:6" ht="14.1" customHeight="1" thickBot="1" x14ac:dyDescent="0.3">
      <c r="B10" s="1488"/>
      <c r="C10" s="1489"/>
      <c r="D10" s="1489"/>
      <c r="E10" s="1489"/>
      <c r="F10" s="1490"/>
    </row>
    <row r="11" spans="2:6" ht="75.75" customHeight="1" thickBot="1" x14ac:dyDescent="0.3">
      <c r="B11" s="405" t="s">
        <v>8</v>
      </c>
      <c r="C11" s="1491" t="s">
        <v>861</v>
      </c>
      <c r="D11" s="1492"/>
      <c r="E11" s="1492"/>
      <c r="F11" s="1493"/>
    </row>
    <row r="12" spans="2:6" ht="14.1" customHeight="1" x14ac:dyDescent="0.25">
      <c r="B12" s="1414" t="s">
        <v>102</v>
      </c>
      <c r="C12" s="393">
        <v>2018</v>
      </c>
      <c r="D12" s="393">
        <v>2019</v>
      </c>
      <c r="E12" s="393">
        <v>2020</v>
      </c>
      <c r="F12" s="406">
        <v>2021</v>
      </c>
    </row>
    <row r="13" spans="2:6" ht="14.1" customHeight="1" thickBot="1" x14ac:dyDescent="0.3">
      <c r="B13" s="1494"/>
      <c r="C13" s="394" t="s">
        <v>10</v>
      </c>
      <c r="D13" s="394" t="s">
        <v>11</v>
      </c>
      <c r="E13" s="394" t="s">
        <v>11</v>
      </c>
      <c r="F13" s="407" t="s">
        <v>11</v>
      </c>
    </row>
    <row r="14" spans="2:6" ht="14.1" customHeight="1" thickBot="1" x14ac:dyDescent="0.3">
      <c r="B14" s="408" t="s">
        <v>862</v>
      </c>
      <c r="C14" s="409">
        <v>138200</v>
      </c>
      <c r="D14" s="409" t="s">
        <v>863</v>
      </c>
      <c r="E14" s="409" t="s">
        <v>864</v>
      </c>
      <c r="F14" s="410" t="s">
        <v>865</v>
      </c>
    </row>
    <row r="15" spans="2:6" ht="30" customHeight="1" thickBot="1" x14ac:dyDescent="0.3">
      <c r="B15" s="411" t="s">
        <v>115</v>
      </c>
      <c r="C15" s="157" t="s">
        <v>116</v>
      </c>
      <c r="D15" s="157" t="s">
        <v>117</v>
      </c>
      <c r="E15" s="157" t="s">
        <v>117</v>
      </c>
      <c r="F15" s="412" t="s">
        <v>117</v>
      </c>
    </row>
    <row r="16" spans="2:6" ht="11.25" customHeight="1" thickBot="1" x14ac:dyDescent="0.3">
      <c r="B16" s="413"/>
      <c r="C16" s="414"/>
      <c r="D16" s="414"/>
      <c r="E16" s="414"/>
      <c r="F16" s="415"/>
    </row>
    <row r="17" spans="2:6" ht="75.75" customHeight="1" thickBot="1" x14ac:dyDescent="0.3">
      <c r="B17" s="416" t="s">
        <v>12</v>
      </c>
      <c r="C17" s="1495" t="s">
        <v>866</v>
      </c>
      <c r="D17" s="1496"/>
      <c r="E17" s="1496"/>
      <c r="F17" s="1497"/>
    </row>
    <row r="18" spans="2:6" ht="14.1" customHeight="1" thickBot="1" x14ac:dyDescent="0.3">
      <c r="B18" s="1470" t="s">
        <v>103</v>
      </c>
      <c r="C18" s="1471"/>
      <c r="D18" s="1471"/>
      <c r="E18" s="1471"/>
      <c r="F18" s="1472"/>
    </row>
    <row r="19" spans="2:6" ht="14.1" customHeight="1" thickBot="1" x14ac:dyDescent="0.3">
      <c r="B19" s="417"/>
      <c r="C19" s="418">
        <v>2018</v>
      </c>
      <c r="D19" s="419">
        <v>2019</v>
      </c>
      <c r="E19" s="419">
        <v>2020</v>
      </c>
      <c r="F19" s="420">
        <v>2021</v>
      </c>
    </row>
    <row r="20" spans="2:6" ht="46.5" customHeight="1" thickBot="1" x14ac:dyDescent="0.3">
      <c r="B20" s="421" t="s">
        <v>867</v>
      </c>
      <c r="C20" s="161">
        <v>3000</v>
      </c>
      <c r="D20" s="161">
        <v>3000</v>
      </c>
      <c r="E20" s="161">
        <v>3050</v>
      </c>
      <c r="F20" s="422">
        <v>3100</v>
      </c>
    </row>
    <row r="21" spans="2:6" ht="36.75" customHeight="1" thickBot="1" x14ac:dyDescent="0.3">
      <c r="B21" s="423"/>
      <c r="C21" s="64" t="s">
        <v>10</v>
      </c>
      <c r="D21" s="64" t="s">
        <v>11</v>
      </c>
      <c r="E21" s="64" t="s">
        <v>11</v>
      </c>
      <c r="F21" s="424" t="s">
        <v>11</v>
      </c>
    </row>
    <row r="22" spans="2:6" ht="24" customHeight="1" thickBot="1" x14ac:dyDescent="0.3">
      <c r="B22" s="408" t="s">
        <v>862</v>
      </c>
      <c r="C22" s="425">
        <v>60510</v>
      </c>
      <c r="D22" s="425">
        <v>60510</v>
      </c>
      <c r="E22" s="425">
        <v>61160</v>
      </c>
      <c r="F22" s="426">
        <v>59510</v>
      </c>
    </row>
    <row r="23" spans="2:6" ht="14.1" customHeight="1" thickBot="1" x14ac:dyDescent="0.3">
      <c r="B23" s="1422" t="s">
        <v>14</v>
      </c>
      <c r="C23" s="1230"/>
      <c r="D23" s="1230"/>
      <c r="E23" s="1230"/>
      <c r="F23" s="1469"/>
    </row>
    <row r="24" spans="2:6" ht="14.1" customHeight="1" thickBot="1" x14ac:dyDescent="0.3">
      <c r="B24" s="1422" t="s">
        <v>104</v>
      </c>
      <c r="C24" s="1230"/>
      <c r="D24" s="1230"/>
      <c r="E24" s="1230"/>
      <c r="F24" s="1469"/>
    </row>
    <row r="25" spans="2:6" ht="23.25" customHeight="1" thickBot="1" x14ac:dyDescent="0.3">
      <c r="B25" s="427" t="s">
        <v>105</v>
      </c>
      <c r="C25" s="1511" t="s">
        <v>868</v>
      </c>
      <c r="D25" s="1511"/>
      <c r="E25" s="1511"/>
      <c r="F25" s="1512"/>
    </row>
    <row r="26" spans="2:6" ht="35.25" customHeight="1" thickBot="1" x14ac:dyDescent="0.3">
      <c r="B26" s="428" t="s">
        <v>17</v>
      </c>
      <c r="C26" s="1513" t="s">
        <v>869</v>
      </c>
      <c r="D26" s="1514"/>
      <c r="E26" s="1514"/>
      <c r="F26" s="1515"/>
    </row>
    <row r="27" spans="2:6" ht="14.1" customHeight="1" thickBot="1" x14ac:dyDescent="0.3">
      <c r="B27" s="411" t="s">
        <v>18</v>
      </c>
      <c r="C27" s="1042" t="s">
        <v>518</v>
      </c>
      <c r="D27" s="1043"/>
      <c r="E27" s="1043"/>
      <c r="F27" s="1449"/>
    </row>
    <row r="28" spans="2:6" ht="14.1" customHeight="1" x14ac:dyDescent="0.25">
      <c r="B28" s="1414"/>
      <c r="C28" s="63">
        <v>2018</v>
      </c>
      <c r="D28" s="63">
        <v>2019</v>
      </c>
      <c r="E28" s="63">
        <v>2020</v>
      </c>
      <c r="F28" s="429">
        <v>2021</v>
      </c>
    </row>
    <row r="29" spans="2:6" ht="14.1" customHeight="1" thickBot="1" x14ac:dyDescent="0.3">
      <c r="B29" s="1415"/>
      <c r="C29" s="64" t="s">
        <v>10</v>
      </c>
      <c r="D29" s="64" t="s">
        <v>11</v>
      </c>
      <c r="E29" s="64" t="s">
        <v>11</v>
      </c>
      <c r="F29" s="424" t="s">
        <v>11</v>
      </c>
    </row>
    <row r="30" spans="2:6" ht="14.1" customHeight="1" thickBot="1" x14ac:dyDescent="0.3">
      <c r="B30" s="411" t="s">
        <v>19</v>
      </c>
      <c r="C30" s="161">
        <v>3000</v>
      </c>
      <c r="D30" s="161">
        <v>3000</v>
      </c>
      <c r="E30" s="161">
        <v>3050</v>
      </c>
      <c r="F30" s="422">
        <v>3100</v>
      </c>
    </row>
    <row r="31" spans="2:6" ht="14.1" customHeight="1" thickBot="1" x14ac:dyDescent="0.3">
      <c r="B31" s="411" t="s">
        <v>20</v>
      </c>
      <c r="C31" s="430">
        <f>+C22/C30</f>
        <v>20.170000000000002</v>
      </c>
      <c r="D31" s="430">
        <f>+D22/D30</f>
        <v>20.170000000000002</v>
      </c>
      <c r="E31" s="430">
        <f>+E22/E30</f>
        <v>20.052459016393442</v>
      </c>
      <c r="F31" s="431">
        <f>+F22/F30</f>
        <v>19.196774193548386</v>
      </c>
    </row>
    <row r="32" spans="2:6" ht="14.1" customHeight="1" thickBot="1" x14ac:dyDescent="0.3">
      <c r="B32" s="411" t="s">
        <v>21</v>
      </c>
      <c r="C32" s="161">
        <f>C31/C30</f>
        <v>6.7233333333333338E-3</v>
      </c>
      <c r="D32" s="161">
        <f t="shared" ref="D32:F32" si="0">D31/D30</f>
        <v>6.7233333333333338E-3</v>
      </c>
      <c r="E32" s="161">
        <f t="shared" si="0"/>
        <v>6.5745767266863746E-3</v>
      </c>
      <c r="F32" s="422">
        <f t="shared" si="0"/>
        <v>6.1925078043704469E-3</v>
      </c>
    </row>
    <row r="33" spans="1:6" ht="14.1" customHeight="1" thickBot="1" x14ac:dyDescent="0.3">
      <c r="B33" s="411" t="s">
        <v>22</v>
      </c>
      <c r="C33" s="392" t="s">
        <v>23</v>
      </c>
      <c r="D33" s="162">
        <f>D30/C30-1</f>
        <v>0</v>
      </c>
      <c r="E33" s="162">
        <f t="shared" ref="E33:F35" si="1">E30/D30-1</f>
        <v>1.6666666666666607E-2</v>
      </c>
      <c r="F33" s="432">
        <f t="shared" si="1"/>
        <v>1.6393442622950838E-2</v>
      </c>
    </row>
    <row r="34" spans="1:6" ht="14.1" customHeight="1" thickBot="1" x14ac:dyDescent="0.3">
      <c r="B34" s="411" t="s">
        <v>24</v>
      </c>
      <c r="C34" s="392" t="s">
        <v>23</v>
      </c>
      <c r="D34" s="162">
        <f>D31/C31-1</f>
        <v>0</v>
      </c>
      <c r="E34" s="162">
        <f t="shared" si="1"/>
        <v>-5.8275153002756985E-3</v>
      </c>
      <c r="F34" s="432">
        <f t="shared" si="1"/>
        <v>-4.2672313761893732E-2</v>
      </c>
    </row>
    <row r="35" spans="1:6" ht="14.1" customHeight="1" thickBot="1" x14ac:dyDescent="0.3">
      <c r="B35" s="411" t="s">
        <v>25</v>
      </c>
      <c r="C35" s="392" t="s">
        <v>23</v>
      </c>
      <c r="D35" s="162">
        <f>D32/C32-1</f>
        <v>0</v>
      </c>
      <c r="E35" s="162">
        <f t="shared" si="1"/>
        <v>-2.2125424885516942E-2</v>
      </c>
      <c r="F35" s="432">
        <f t="shared" si="1"/>
        <v>-5.8113082894766466E-2</v>
      </c>
    </row>
    <row r="36" spans="1:6" ht="14.1" customHeight="1" thickBot="1" x14ac:dyDescent="0.3">
      <c r="B36" s="1459" t="s">
        <v>118</v>
      </c>
      <c r="C36" s="1460"/>
      <c r="D36" s="1460"/>
      <c r="E36" s="1460"/>
      <c r="F36" s="1461"/>
    </row>
    <row r="37" spans="1:6" ht="14.1" customHeight="1" x14ac:dyDescent="0.25">
      <c r="B37" s="1414"/>
      <c r="C37" s="63">
        <v>2018</v>
      </c>
      <c r="D37" s="63">
        <v>2019</v>
      </c>
      <c r="E37" s="63">
        <v>2020</v>
      </c>
      <c r="F37" s="429">
        <v>2021</v>
      </c>
    </row>
    <row r="38" spans="1:6" ht="14.1" customHeight="1" thickBot="1" x14ac:dyDescent="0.3">
      <c r="B38" s="1415"/>
      <c r="C38" s="64" t="s">
        <v>10</v>
      </c>
      <c r="D38" s="64" t="s">
        <v>11</v>
      </c>
      <c r="E38" s="64" t="s">
        <v>11</v>
      </c>
      <c r="F38" s="424" t="s">
        <v>11</v>
      </c>
    </row>
    <row r="39" spans="1:6" ht="14.1" customHeight="1" thickBot="1" x14ac:dyDescent="0.3">
      <c r="B39" s="433" t="s">
        <v>26</v>
      </c>
      <c r="C39" s="164">
        <v>52920</v>
      </c>
      <c r="D39" s="164">
        <f>+C39</f>
        <v>52920</v>
      </c>
      <c r="E39" s="164">
        <f>+D39</f>
        <v>52920</v>
      </c>
      <c r="F39" s="434">
        <v>51920</v>
      </c>
    </row>
    <row r="40" spans="1:6" ht="21.75" customHeight="1" thickBot="1" x14ac:dyDescent="0.3">
      <c r="B40" s="433" t="s">
        <v>28</v>
      </c>
      <c r="C40" s="164">
        <v>7200</v>
      </c>
      <c r="D40" s="164">
        <v>7200</v>
      </c>
      <c r="E40" s="164">
        <f t="shared" ref="E40:E45" si="2">+D40</f>
        <v>7200</v>
      </c>
      <c r="F40" s="434">
        <v>7200</v>
      </c>
    </row>
    <row r="41" spans="1:6" ht="14.1" customHeight="1" thickBot="1" x14ac:dyDescent="0.3">
      <c r="B41" s="433" t="s">
        <v>30</v>
      </c>
      <c r="C41" s="165">
        <v>150</v>
      </c>
      <c r="D41" s="164">
        <f t="shared" ref="D41:D45" si="3">+C41</f>
        <v>150</v>
      </c>
      <c r="E41" s="164">
        <v>800</v>
      </c>
      <c r="F41" s="434">
        <v>150</v>
      </c>
    </row>
    <row r="42" spans="1:6" ht="14.1" customHeight="1" thickBot="1" x14ac:dyDescent="0.3">
      <c r="B42" s="433" t="s">
        <v>32</v>
      </c>
      <c r="C42" s="165"/>
      <c r="D42" s="164">
        <f t="shared" si="3"/>
        <v>0</v>
      </c>
      <c r="E42" s="164">
        <f t="shared" si="2"/>
        <v>0</v>
      </c>
      <c r="F42" s="434"/>
    </row>
    <row r="43" spans="1:6" ht="14.1" customHeight="1" thickBot="1" x14ac:dyDescent="0.3">
      <c r="B43" s="433" t="s">
        <v>34</v>
      </c>
      <c r="C43" s="165"/>
      <c r="D43" s="164">
        <f t="shared" si="3"/>
        <v>0</v>
      </c>
      <c r="E43" s="164">
        <f t="shared" si="2"/>
        <v>0</v>
      </c>
      <c r="F43" s="434"/>
    </row>
    <row r="44" spans="1:6" ht="14.1" customHeight="1" thickBot="1" x14ac:dyDescent="0.3">
      <c r="B44" s="433" t="s">
        <v>36</v>
      </c>
      <c r="C44" s="165">
        <v>240</v>
      </c>
      <c r="D44" s="164">
        <f t="shared" si="3"/>
        <v>240</v>
      </c>
      <c r="E44" s="164">
        <f t="shared" si="2"/>
        <v>240</v>
      </c>
      <c r="F44" s="434">
        <v>240</v>
      </c>
    </row>
    <row r="45" spans="1:6" ht="23.25" customHeight="1" thickBot="1" x14ac:dyDescent="0.3">
      <c r="B45" s="433" t="s">
        <v>38</v>
      </c>
      <c r="C45" s="165"/>
      <c r="D45" s="164">
        <f t="shared" si="3"/>
        <v>0</v>
      </c>
      <c r="E45" s="164">
        <f t="shared" si="2"/>
        <v>0</v>
      </c>
      <c r="F45" s="434"/>
    </row>
    <row r="46" spans="1:6" ht="23.25" customHeight="1" thickBot="1" x14ac:dyDescent="0.3">
      <c r="B46" s="435" t="s">
        <v>40</v>
      </c>
      <c r="C46" s="436">
        <f>C45+C44+C43+C42+C41+C40+C39</f>
        <v>60510</v>
      </c>
      <c r="D46" s="436">
        <f>D45+D44+D43+D42+D41+D40+D39</f>
        <v>60510</v>
      </c>
      <c r="E46" s="436">
        <f>E45+E44+E43+E42+E41+E40+E39</f>
        <v>61160</v>
      </c>
      <c r="F46" s="437">
        <f>F45+F44+F43+F42+F41+F40+F39</f>
        <v>59510</v>
      </c>
    </row>
    <row r="47" spans="1:6" ht="14.1" customHeight="1" thickBot="1" x14ac:dyDescent="0.3">
      <c r="B47" s="438" t="s">
        <v>41</v>
      </c>
      <c r="C47" s="439">
        <f>+C46-C46</f>
        <v>0</v>
      </c>
      <c r="D47" s="439">
        <f>+D46-D46</f>
        <v>0</v>
      </c>
      <c r="E47" s="439">
        <f>+E46-E46</f>
        <v>0</v>
      </c>
      <c r="F47" s="440">
        <f>+F46-F46</f>
        <v>0</v>
      </c>
    </row>
    <row r="48" spans="1:6" ht="56.25" customHeight="1" thickBot="1" x14ac:dyDescent="0.3">
      <c r="A48" s="441"/>
      <c r="B48" s="442" t="s">
        <v>67</v>
      </c>
      <c r="C48" s="1443" t="s">
        <v>870</v>
      </c>
      <c r="D48" s="1444"/>
      <c r="E48" s="1444"/>
      <c r="F48" s="1445"/>
    </row>
    <row r="49" spans="2:6" ht="14.1" customHeight="1" thickBot="1" x14ac:dyDescent="0.3">
      <c r="B49" s="1470" t="s">
        <v>103</v>
      </c>
      <c r="C49" s="1471"/>
      <c r="D49" s="1471"/>
      <c r="E49" s="1471"/>
      <c r="F49" s="1472"/>
    </row>
    <row r="50" spans="2:6" ht="49.5" customHeight="1" thickBot="1" x14ac:dyDescent="0.3">
      <c r="B50" s="421" t="s">
        <v>871</v>
      </c>
      <c r="C50" s="418">
        <v>2018</v>
      </c>
      <c r="D50" s="419">
        <v>2019</v>
      </c>
      <c r="E50" s="419">
        <v>2020</v>
      </c>
      <c r="F50" s="420">
        <v>2021</v>
      </c>
    </row>
    <row r="51" spans="2:6" ht="14.1" customHeight="1" thickBot="1" x14ac:dyDescent="0.3">
      <c r="B51" s="423"/>
      <c r="C51" s="63" t="s">
        <v>10</v>
      </c>
      <c r="D51" s="63" t="s">
        <v>11</v>
      </c>
      <c r="E51" s="63" t="s">
        <v>11</v>
      </c>
      <c r="F51" s="429" t="s">
        <v>11</v>
      </c>
    </row>
    <row r="52" spans="2:6" ht="17.25" customHeight="1" thickBot="1" x14ac:dyDescent="0.3">
      <c r="B52" s="443" t="s">
        <v>862</v>
      </c>
      <c r="C52" s="444">
        <v>30299</v>
      </c>
      <c r="D52" s="444">
        <v>29299</v>
      </c>
      <c r="E52" s="444">
        <v>29649</v>
      </c>
      <c r="F52" s="444">
        <v>30000</v>
      </c>
    </row>
    <row r="53" spans="2:6" ht="14.1" customHeight="1" thickBot="1" x14ac:dyDescent="0.3">
      <c r="B53" s="1422" t="s">
        <v>69</v>
      </c>
      <c r="C53" s="1423"/>
      <c r="D53" s="1423"/>
      <c r="E53" s="1423"/>
      <c r="F53" s="1424"/>
    </row>
    <row r="54" spans="2:6" ht="17.25" customHeight="1" thickBot="1" x14ac:dyDescent="0.3">
      <c r="B54" s="445" t="s">
        <v>872</v>
      </c>
      <c r="C54" s="1482" t="s">
        <v>873</v>
      </c>
      <c r="D54" s="1483"/>
      <c r="E54" s="1483"/>
      <c r="F54" s="1484"/>
    </row>
    <row r="55" spans="2:6" ht="28.5" customHeight="1" thickBot="1" x14ac:dyDescent="0.3">
      <c r="B55" s="446" t="s">
        <v>17</v>
      </c>
      <c r="C55" s="1498" t="s">
        <v>874</v>
      </c>
      <c r="D55" s="1499"/>
      <c r="E55" s="1499"/>
      <c r="F55" s="1500"/>
    </row>
    <row r="56" spans="2:6" ht="21.75" customHeight="1" thickBot="1" x14ac:dyDescent="0.3">
      <c r="B56" s="411" t="s">
        <v>18</v>
      </c>
      <c r="C56" s="1042" t="s">
        <v>518</v>
      </c>
      <c r="D56" s="1043"/>
      <c r="E56" s="1043"/>
      <c r="F56" s="1449"/>
    </row>
    <row r="57" spans="2:6" ht="24.75" customHeight="1" thickBot="1" x14ac:dyDescent="0.3">
      <c r="B57" s="411" t="s">
        <v>19</v>
      </c>
      <c r="C57" s="161">
        <v>1200</v>
      </c>
      <c r="D57" s="161">
        <v>1200</v>
      </c>
      <c r="E57" s="161">
        <v>1220</v>
      </c>
      <c r="F57" s="422">
        <v>1240</v>
      </c>
    </row>
    <row r="58" spans="2:6" ht="14.1" customHeight="1" x14ac:dyDescent="0.25">
      <c r="B58" s="1414"/>
      <c r="C58" s="63">
        <v>2018</v>
      </c>
      <c r="D58" s="63">
        <v>2019</v>
      </c>
      <c r="E58" s="63">
        <v>2020</v>
      </c>
      <c r="F58" s="429">
        <v>2021</v>
      </c>
    </row>
    <row r="59" spans="2:6" ht="14.1" customHeight="1" thickBot="1" x14ac:dyDescent="0.3">
      <c r="B59" s="1415"/>
      <c r="C59" s="64" t="s">
        <v>10</v>
      </c>
      <c r="D59" s="64" t="s">
        <v>11</v>
      </c>
      <c r="E59" s="64" t="s">
        <v>11</v>
      </c>
      <c r="F59" s="424" t="s">
        <v>11</v>
      </c>
    </row>
    <row r="60" spans="2:6" ht="14.1" customHeight="1" thickBot="1" x14ac:dyDescent="0.3">
      <c r="B60" s="411" t="s">
        <v>20</v>
      </c>
      <c r="C60" s="447">
        <v>30299</v>
      </c>
      <c r="D60" s="448">
        <v>29299</v>
      </c>
      <c r="E60" s="448">
        <v>29649</v>
      </c>
      <c r="F60" s="449">
        <v>30000</v>
      </c>
    </row>
    <row r="61" spans="2:6" ht="14.1" customHeight="1" thickBot="1" x14ac:dyDescent="0.3">
      <c r="B61" s="411" t="s">
        <v>21</v>
      </c>
      <c r="C61" s="430">
        <f>C60/C57</f>
        <v>25.249166666666667</v>
      </c>
      <c r="D61" s="430">
        <f>D60/D57</f>
        <v>24.415833333333332</v>
      </c>
      <c r="E61" s="430">
        <f>E60/E57</f>
        <v>24.302459016393442</v>
      </c>
      <c r="F61" s="431">
        <f>F60/F57</f>
        <v>24.193548387096776</v>
      </c>
    </row>
    <row r="62" spans="2:6" ht="14.1" customHeight="1" thickBot="1" x14ac:dyDescent="0.3">
      <c r="B62" s="411" t="s">
        <v>22</v>
      </c>
      <c r="C62" s="392"/>
      <c r="D62" s="162">
        <f>D57/C57-1</f>
        <v>0</v>
      </c>
      <c r="E62" s="162">
        <f>E57/D57-1</f>
        <v>1.6666666666666607E-2</v>
      </c>
      <c r="F62" s="432">
        <f>F57/E57-1</f>
        <v>1.6393442622950838E-2</v>
      </c>
    </row>
    <row r="63" spans="2:6" ht="14.1" customHeight="1" thickBot="1" x14ac:dyDescent="0.3">
      <c r="B63" s="411" t="s">
        <v>24</v>
      </c>
      <c r="C63" s="392"/>
      <c r="D63" s="162">
        <f>D60/C60-1</f>
        <v>-3.3004389583814686E-2</v>
      </c>
      <c r="E63" s="162">
        <f t="shared" ref="E63:F64" si="4">E60/D60-1</f>
        <v>1.1945800197958878E-2</v>
      </c>
      <c r="F63" s="432">
        <f t="shared" si="4"/>
        <v>1.1838510573712435E-2</v>
      </c>
    </row>
    <row r="64" spans="2:6" ht="14.1" customHeight="1" thickBot="1" x14ac:dyDescent="0.3">
      <c r="B64" s="411" t="s">
        <v>25</v>
      </c>
      <c r="C64" s="392"/>
      <c r="D64" s="162">
        <f>D61/C61-1</f>
        <v>-3.3004389583814686E-2</v>
      </c>
      <c r="E64" s="162">
        <f t="shared" si="4"/>
        <v>-4.6434752151223169E-3</v>
      </c>
      <c r="F64" s="432">
        <f t="shared" si="4"/>
        <v>-4.4814654032828694E-3</v>
      </c>
    </row>
    <row r="65" spans="2:6" ht="14.1" customHeight="1" thickBot="1" x14ac:dyDescent="0.3">
      <c r="B65" s="1459" t="s">
        <v>875</v>
      </c>
      <c r="C65" s="1460"/>
      <c r="D65" s="1460"/>
      <c r="E65" s="1460"/>
      <c r="F65" s="1461"/>
    </row>
    <row r="66" spans="2:6" ht="14.1" customHeight="1" x14ac:dyDescent="0.25">
      <c r="B66" s="1414"/>
      <c r="C66" s="63">
        <v>2018</v>
      </c>
      <c r="D66" s="63">
        <v>2019</v>
      </c>
      <c r="E66" s="63">
        <v>2020</v>
      </c>
      <c r="F66" s="429">
        <v>2021</v>
      </c>
    </row>
    <row r="67" spans="2:6" ht="14.1" customHeight="1" thickBot="1" x14ac:dyDescent="0.3">
      <c r="B67" s="1415"/>
      <c r="C67" s="64" t="s">
        <v>10</v>
      </c>
      <c r="D67" s="64" t="s">
        <v>11</v>
      </c>
      <c r="E67" s="64" t="s">
        <v>11</v>
      </c>
      <c r="F67" s="424" t="s">
        <v>11</v>
      </c>
    </row>
    <row r="68" spans="2:6" ht="14.1" customHeight="1" thickBot="1" x14ac:dyDescent="0.3">
      <c r="B68" s="433" t="s">
        <v>26</v>
      </c>
      <c r="C68" s="164">
        <v>25658</v>
      </c>
      <c r="D68" s="164">
        <v>25658</v>
      </c>
      <c r="E68" s="164">
        <v>25658</v>
      </c>
      <c r="F68" s="434">
        <v>26359</v>
      </c>
    </row>
    <row r="69" spans="2:6" ht="14.1" customHeight="1" thickBot="1" x14ac:dyDescent="0.3">
      <c r="B69" s="433" t="s">
        <v>28</v>
      </c>
      <c r="C69" s="164">
        <v>4491</v>
      </c>
      <c r="D69" s="164">
        <v>3491</v>
      </c>
      <c r="E69" s="164">
        <v>3491</v>
      </c>
      <c r="F69" s="434">
        <v>3491</v>
      </c>
    </row>
    <row r="70" spans="2:6" ht="14.1" customHeight="1" thickBot="1" x14ac:dyDescent="0.3">
      <c r="B70" s="433" t="s">
        <v>30</v>
      </c>
      <c r="C70" s="165">
        <v>150</v>
      </c>
      <c r="D70" s="164">
        <v>150</v>
      </c>
      <c r="E70" s="164">
        <v>500</v>
      </c>
      <c r="F70" s="434">
        <v>150</v>
      </c>
    </row>
    <row r="71" spans="2:6" ht="27" customHeight="1" thickBot="1" x14ac:dyDescent="0.3">
      <c r="B71" s="433" t="s">
        <v>32</v>
      </c>
      <c r="C71" s="165"/>
      <c r="D71" s="164"/>
      <c r="E71" s="164"/>
      <c r="F71" s="434"/>
    </row>
    <row r="72" spans="2:6" ht="14.1" customHeight="1" thickBot="1" x14ac:dyDescent="0.3">
      <c r="B72" s="433" t="s">
        <v>34</v>
      </c>
      <c r="C72" s="165"/>
      <c r="D72" s="164"/>
      <c r="E72" s="164"/>
      <c r="F72" s="434"/>
    </row>
    <row r="73" spans="2:6" ht="14.1" customHeight="1" thickBot="1" x14ac:dyDescent="0.3">
      <c r="B73" s="433" t="s">
        <v>36</v>
      </c>
      <c r="C73" s="165"/>
      <c r="D73" s="164"/>
      <c r="E73" s="164"/>
      <c r="F73" s="434"/>
    </row>
    <row r="74" spans="2:6" ht="14.1" customHeight="1" thickBot="1" x14ac:dyDescent="0.3">
      <c r="B74" s="433" t="s">
        <v>38</v>
      </c>
      <c r="C74" s="165"/>
      <c r="D74" s="164"/>
      <c r="E74" s="164"/>
      <c r="F74" s="434"/>
    </row>
    <row r="75" spans="2:6" ht="14.1" customHeight="1" thickBot="1" x14ac:dyDescent="0.3">
      <c r="B75" s="450" t="s">
        <v>40</v>
      </c>
      <c r="C75" s="436">
        <f>C74+C73+C72+C71+C70+C69+C68</f>
        <v>30299</v>
      </c>
      <c r="D75" s="436">
        <f>D74+D73+D72+D71+D70+D69+D68</f>
        <v>29299</v>
      </c>
      <c r="E75" s="436">
        <f>E74+E73+E72+E71+E70+E69+E68</f>
        <v>29649</v>
      </c>
      <c r="F75" s="437">
        <f>F74+F73+F72+F71+F70+F69+F68</f>
        <v>30000</v>
      </c>
    </row>
    <row r="76" spans="2:6" ht="14.1" customHeight="1" thickBot="1" x14ac:dyDescent="0.3">
      <c r="B76" s="451" t="s">
        <v>41</v>
      </c>
      <c r="C76" s="452">
        <f>IF(C75-C60=0,0,"Error")</f>
        <v>0</v>
      </c>
      <c r="D76" s="452">
        <f>IF(D75-D60=0,0,"Error")</f>
        <v>0</v>
      </c>
      <c r="E76" s="452">
        <f>IF(E75-E60=0,0,"Error")</f>
        <v>0</v>
      </c>
      <c r="F76" s="453">
        <f>IF(F75-F60=0,0,"Error")</f>
        <v>0</v>
      </c>
    </row>
    <row r="77" spans="2:6" ht="49.5" customHeight="1" thickBot="1" x14ac:dyDescent="0.3">
      <c r="B77" s="454" t="s">
        <v>75</v>
      </c>
      <c r="C77" s="1443" t="s">
        <v>876</v>
      </c>
      <c r="D77" s="1444"/>
      <c r="E77" s="1444"/>
      <c r="F77" s="1445"/>
    </row>
    <row r="78" spans="2:6" ht="14.1" customHeight="1" thickBot="1" x14ac:dyDescent="0.3">
      <c r="B78" s="1470" t="s">
        <v>103</v>
      </c>
      <c r="C78" s="1471"/>
      <c r="D78" s="1471"/>
      <c r="E78" s="1471"/>
      <c r="F78" s="1472"/>
    </row>
    <row r="79" spans="2:6" ht="48.75" customHeight="1" thickBot="1" x14ac:dyDescent="0.3">
      <c r="B79" s="455" t="s">
        <v>876</v>
      </c>
      <c r="C79" s="418">
        <v>2018</v>
      </c>
      <c r="D79" s="419">
        <v>2019</v>
      </c>
      <c r="E79" s="419">
        <v>2020</v>
      </c>
      <c r="F79" s="420">
        <v>2021</v>
      </c>
    </row>
    <row r="80" spans="2:6" ht="14.1" customHeight="1" thickBot="1" x14ac:dyDescent="0.3">
      <c r="B80" s="423"/>
      <c r="C80" s="63" t="s">
        <v>10</v>
      </c>
      <c r="D80" s="63" t="s">
        <v>11</v>
      </c>
      <c r="E80" s="63" t="s">
        <v>11</v>
      </c>
      <c r="F80" s="429" t="s">
        <v>11</v>
      </c>
    </row>
    <row r="81" spans="2:6" ht="13.5" customHeight="1" thickBot="1" x14ac:dyDescent="0.3">
      <c r="B81" s="443" t="s">
        <v>862</v>
      </c>
      <c r="C81" s="444">
        <v>12200</v>
      </c>
      <c r="D81" s="444">
        <v>8300</v>
      </c>
      <c r="E81" s="444">
        <v>8600</v>
      </c>
      <c r="F81" s="444">
        <v>8600</v>
      </c>
    </row>
    <row r="82" spans="2:6" ht="14.1" customHeight="1" thickBot="1" x14ac:dyDescent="0.3">
      <c r="B82" s="1422" t="s">
        <v>77</v>
      </c>
      <c r="C82" s="1423"/>
      <c r="D82" s="1423"/>
      <c r="E82" s="1423"/>
      <c r="F82" s="1424"/>
    </row>
    <row r="83" spans="2:6" ht="37.5" customHeight="1" thickBot="1" x14ac:dyDescent="0.3">
      <c r="B83" s="456" t="s">
        <v>872</v>
      </c>
      <c r="C83" s="1477" t="s">
        <v>877</v>
      </c>
      <c r="D83" s="1478"/>
      <c r="E83" s="1478"/>
      <c r="F83" s="1479"/>
    </row>
    <row r="84" spans="2:6" ht="33.75" customHeight="1" thickBot="1" x14ac:dyDescent="0.3">
      <c r="B84" s="457" t="s">
        <v>17</v>
      </c>
      <c r="C84" s="1473" t="s">
        <v>878</v>
      </c>
      <c r="D84" s="1480"/>
      <c r="E84" s="1480"/>
      <c r="F84" s="1481"/>
    </row>
    <row r="85" spans="2:6" ht="14.1" customHeight="1" thickBot="1" x14ac:dyDescent="0.3">
      <c r="B85" s="411" t="s">
        <v>18</v>
      </c>
      <c r="C85" s="1042" t="s">
        <v>518</v>
      </c>
      <c r="D85" s="1043"/>
      <c r="E85" s="1043"/>
      <c r="F85" s="1449"/>
    </row>
    <row r="86" spans="2:6" ht="14.1" customHeight="1" thickBot="1" x14ac:dyDescent="0.3">
      <c r="B86" s="411" t="s">
        <v>19</v>
      </c>
      <c r="C86" s="161">
        <v>200</v>
      </c>
      <c r="D86" s="161">
        <v>200</v>
      </c>
      <c r="E86" s="161">
        <v>210</v>
      </c>
      <c r="F86" s="422">
        <v>210</v>
      </c>
    </row>
    <row r="87" spans="2:6" ht="14.1" customHeight="1" x14ac:dyDescent="0.25">
      <c r="B87" s="1414"/>
      <c r="C87" s="63">
        <v>2018</v>
      </c>
      <c r="D87" s="63">
        <v>2019</v>
      </c>
      <c r="E87" s="63">
        <v>2020</v>
      </c>
      <c r="F87" s="429">
        <v>2021</v>
      </c>
    </row>
    <row r="88" spans="2:6" ht="14.1" customHeight="1" thickBot="1" x14ac:dyDescent="0.3">
      <c r="B88" s="1415"/>
      <c r="C88" s="64" t="s">
        <v>10</v>
      </c>
      <c r="D88" s="64" t="s">
        <v>11</v>
      </c>
      <c r="E88" s="64" t="s">
        <v>11</v>
      </c>
      <c r="F88" s="424" t="s">
        <v>11</v>
      </c>
    </row>
    <row r="89" spans="2:6" ht="26.25" customHeight="1" thickBot="1" x14ac:dyDescent="0.3">
      <c r="B89" s="411" t="s">
        <v>20</v>
      </c>
      <c r="C89" s="458">
        <v>12200</v>
      </c>
      <c r="D89" s="448">
        <v>8300</v>
      </c>
      <c r="E89" s="448">
        <v>8600</v>
      </c>
      <c r="F89" s="449">
        <v>8600</v>
      </c>
    </row>
    <row r="90" spans="2:6" ht="14.1" customHeight="1" thickBot="1" x14ac:dyDescent="0.3">
      <c r="B90" s="411" t="s">
        <v>21</v>
      </c>
      <c r="C90" s="430">
        <f>C89/C86</f>
        <v>61</v>
      </c>
      <c r="D90" s="430">
        <f>D89/D86</f>
        <v>41.5</v>
      </c>
      <c r="E90" s="430">
        <f>E89/E86</f>
        <v>40.952380952380949</v>
      </c>
      <c r="F90" s="431">
        <f>F89/F86</f>
        <v>40.952380952380949</v>
      </c>
    </row>
    <row r="91" spans="2:6" ht="14.1" customHeight="1" thickBot="1" x14ac:dyDescent="0.3">
      <c r="B91" s="411" t="s">
        <v>22</v>
      </c>
      <c r="C91" s="392"/>
      <c r="D91" s="162">
        <f>D86/C86-1</f>
        <v>0</v>
      </c>
      <c r="E91" s="162">
        <f>E86/D86-1</f>
        <v>5.0000000000000044E-2</v>
      </c>
      <c r="F91" s="432">
        <f>F86/E86-1</f>
        <v>0</v>
      </c>
    </row>
    <row r="92" spans="2:6" ht="14.1" customHeight="1" thickBot="1" x14ac:dyDescent="0.3">
      <c r="B92" s="411" t="s">
        <v>24</v>
      </c>
      <c r="C92" s="392"/>
      <c r="D92" s="162">
        <f>D89/C89-1</f>
        <v>-0.31967213114754101</v>
      </c>
      <c r="E92" s="162">
        <f t="shared" ref="E92:F93" si="5">E89/D89-1</f>
        <v>3.6144578313253017E-2</v>
      </c>
      <c r="F92" s="432">
        <f t="shared" si="5"/>
        <v>0</v>
      </c>
    </row>
    <row r="93" spans="2:6" ht="14.1" customHeight="1" thickBot="1" x14ac:dyDescent="0.3">
      <c r="B93" s="411" t="s">
        <v>25</v>
      </c>
      <c r="C93" s="392"/>
      <c r="D93" s="162">
        <f>D90/C90-1</f>
        <v>-0.31967213114754101</v>
      </c>
      <c r="E93" s="162">
        <f t="shared" si="5"/>
        <v>-1.319563970166393E-2</v>
      </c>
      <c r="F93" s="432">
        <f t="shared" si="5"/>
        <v>0</v>
      </c>
    </row>
    <row r="94" spans="2:6" ht="14.1" customHeight="1" thickBot="1" x14ac:dyDescent="0.3">
      <c r="B94" s="1459" t="s">
        <v>875</v>
      </c>
      <c r="C94" s="1460"/>
      <c r="D94" s="1460"/>
      <c r="E94" s="1460"/>
      <c r="F94" s="1461"/>
    </row>
    <row r="95" spans="2:6" ht="14.1" customHeight="1" x14ac:dyDescent="0.25">
      <c r="B95" s="1414"/>
      <c r="C95" s="63">
        <v>2018</v>
      </c>
      <c r="D95" s="63">
        <v>2019</v>
      </c>
      <c r="E95" s="63">
        <v>2020</v>
      </c>
      <c r="F95" s="429">
        <v>2021</v>
      </c>
    </row>
    <row r="96" spans="2:6" ht="14.1" customHeight="1" thickBot="1" x14ac:dyDescent="0.3">
      <c r="B96" s="1415"/>
      <c r="C96" s="64" t="s">
        <v>10</v>
      </c>
      <c r="D96" s="64" t="s">
        <v>11</v>
      </c>
      <c r="E96" s="64" t="s">
        <v>11</v>
      </c>
      <c r="F96" s="424" t="s">
        <v>11</v>
      </c>
    </row>
    <row r="97" spans="2:6" ht="14.1" customHeight="1" thickBot="1" x14ac:dyDescent="0.3">
      <c r="B97" s="433" t="s">
        <v>26</v>
      </c>
      <c r="C97" s="164">
        <v>10300</v>
      </c>
      <c r="D97" s="164">
        <v>7600</v>
      </c>
      <c r="E97" s="164">
        <v>7600</v>
      </c>
      <c r="F97" s="434">
        <v>7800</v>
      </c>
    </row>
    <row r="98" spans="2:6" ht="14.1" customHeight="1" thickBot="1" x14ac:dyDescent="0.3">
      <c r="B98" s="433" t="s">
        <v>28</v>
      </c>
      <c r="C98" s="164">
        <v>1900</v>
      </c>
      <c r="D98" s="164">
        <v>700</v>
      </c>
      <c r="E98" s="164">
        <v>700</v>
      </c>
      <c r="F98" s="434">
        <v>700</v>
      </c>
    </row>
    <row r="99" spans="2:6" ht="14.1" customHeight="1" thickBot="1" x14ac:dyDescent="0.3">
      <c r="B99" s="433" t="s">
        <v>30</v>
      </c>
      <c r="C99" s="165"/>
      <c r="D99" s="164"/>
      <c r="E99" s="164">
        <v>300</v>
      </c>
      <c r="F99" s="434">
        <v>100</v>
      </c>
    </row>
    <row r="100" spans="2:6" ht="14.1" customHeight="1" thickBot="1" x14ac:dyDescent="0.3">
      <c r="B100" s="433" t="s">
        <v>32</v>
      </c>
      <c r="C100" s="165"/>
      <c r="D100" s="164"/>
      <c r="E100" s="164"/>
      <c r="F100" s="434"/>
    </row>
    <row r="101" spans="2:6" ht="14.1" customHeight="1" thickBot="1" x14ac:dyDescent="0.3">
      <c r="B101" s="433" t="s">
        <v>34</v>
      </c>
      <c r="C101" s="165"/>
      <c r="D101" s="164"/>
      <c r="E101" s="164"/>
      <c r="F101" s="434"/>
    </row>
    <row r="102" spans="2:6" ht="14.1" customHeight="1" thickBot="1" x14ac:dyDescent="0.3">
      <c r="B102" s="433" t="s">
        <v>36</v>
      </c>
      <c r="C102" s="165"/>
      <c r="D102" s="164"/>
      <c r="E102" s="164"/>
      <c r="F102" s="434"/>
    </row>
    <row r="103" spans="2:6" ht="15.75" customHeight="1" thickBot="1" x14ac:dyDescent="0.3">
      <c r="B103" s="459" t="s">
        <v>38</v>
      </c>
      <c r="C103" s="339"/>
      <c r="D103" s="228"/>
      <c r="E103" s="228"/>
      <c r="F103" s="460"/>
    </row>
    <row r="104" spans="2:6" ht="14.1" customHeight="1" thickBot="1" x14ac:dyDescent="0.3">
      <c r="B104" s="461" t="s">
        <v>40</v>
      </c>
      <c r="C104" s="462">
        <f>C103+C102+C101+C100+C99+C98+C97</f>
        <v>12200</v>
      </c>
      <c r="D104" s="463">
        <f>D103+D102+D101+D100+D99+D98+D97</f>
        <v>8300</v>
      </c>
      <c r="E104" s="463">
        <f>E103+E102+E101+E100+E99+E98+E97</f>
        <v>8600</v>
      </c>
      <c r="F104" s="464">
        <f>F103+F102+F101+F100+F99+F98+F97</f>
        <v>8600</v>
      </c>
    </row>
    <row r="105" spans="2:6" ht="14.1" customHeight="1" thickBot="1" x14ac:dyDescent="0.3">
      <c r="B105" s="465" t="s">
        <v>41</v>
      </c>
      <c r="C105" s="167">
        <f>IF(C91-C76=0,0,"Error")</f>
        <v>0</v>
      </c>
      <c r="D105" s="167">
        <f>IF(D91-D76=0,0,"Error")</f>
        <v>0</v>
      </c>
      <c r="E105" s="167">
        <v>0</v>
      </c>
      <c r="F105" s="466">
        <f>IF(F91-F76=0,0,"Error")</f>
        <v>0</v>
      </c>
    </row>
    <row r="106" spans="2:6" ht="61.5" customHeight="1" thickBot="1" x14ac:dyDescent="0.3">
      <c r="B106" s="454" t="s">
        <v>78</v>
      </c>
      <c r="C106" s="1443" t="s">
        <v>879</v>
      </c>
      <c r="D106" s="1444"/>
      <c r="E106" s="1444"/>
      <c r="F106" s="1445"/>
    </row>
    <row r="107" spans="2:6" ht="14.1" customHeight="1" thickBot="1" x14ac:dyDescent="0.3">
      <c r="B107" s="1470" t="s">
        <v>103</v>
      </c>
      <c r="C107" s="1471"/>
      <c r="D107" s="1471"/>
      <c r="E107" s="1471"/>
      <c r="F107" s="1472"/>
    </row>
    <row r="108" spans="2:6" ht="14.1" customHeight="1" thickBot="1" x14ac:dyDescent="0.3">
      <c r="B108" s="421"/>
      <c r="C108" s="418">
        <v>2018</v>
      </c>
      <c r="D108" s="419">
        <v>2019</v>
      </c>
      <c r="E108" s="419">
        <v>2020</v>
      </c>
      <c r="F108" s="420">
        <v>2021</v>
      </c>
    </row>
    <row r="109" spans="2:6" ht="14.1" customHeight="1" thickBot="1" x14ac:dyDescent="0.3">
      <c r="B109" s="423"/>
      <c r="C109" s="63" t="s">
        <v>10</v>
      </c>
      <c r="D109" s="63" t="s">
        <v>11</v>
      </c>
      <c r="E109" s="63" t="s">
        <v>11</v>
      </c>
      <c r="F109" s="429" t="s">
        <v>11</v>
      </c>
    </row>
    <row r="110" spans="2:6" ht="18.75" customHeight="1" thickBot="1" x14ac:dyDescent="0.3">
      <c r="B110" s="443" t="s">
        <v>862</v>
      </c>
      <c r="C110" s="467">
        <v>12731</v>
      </c>
      <c r="D110" s="467">
        <v>12931</v>
      </c>
      <c r="E110" s="467">
        <v>11231</v>
      </c>
      <c r="F110" s="467">
        <v>12931</v>
      </c>
    </row>
    <row r="111" spans="2:6" ht="54" customHeight="1" thickBot="1" x14ac:dyDescent="0.3">
      <c r="B111" s="456" t="s">
        <v>872</v>
      </c>
      <c r="C111" s="1443" t="s">
        <v>880</v>
      </c>
      <c r="D111" s="1444"/>
      <c r="E111" s="1444"/>
      <c r="F111" s="1445"/>
    </row>
    <row r="112" spans="2:6" ht="58.5" customHeight="1" thickBot="1" x14ac:dyDescent="0.3">
      <c r="B112" s="446" t="s">
        <v>17</v>
      </c>
      <c r="C112" s="1473" t="s">
        <v>881</v>
      </c>
      <c r="D112" s="1474"/>
      <c r="E112" s="1475"/>
      <c r="F112" s="1476"/>
    </row>
    <row r="113" spans="2:6" ht="14.1" customHeight="1" thickBot="1" x14ac:dyDescent="0.3">
      <c r="B113" s="411" t="s">
        <v>18</v>
      </c>
      <c r="C113" s="1042" t="s">
        <v>518</v>
      </c>
      <c r="D113" s="1043"/>
      <c r="E113" s="1043"/>
      <c r="F113" s="1449"/>
    </row>
    <row r="114" spans="2:6" ht="14.1" customHeight="1" thickBot="1" x14ac:dyDescent="0.3">
      <c r="B114" s="411" t="s">
        <v>19</v>
      </c>
      <c r="C114" s="161">
        <v>500</v>
      </c>
      <c r="D114" s="161">
        <v>600</v>
      </c>
      <c r="E114" s="161">
        <v>650</v>
      </c>
      <c r="F114" s="422">
        <v>750</v>
      </c>
    </row>
    <row r="115" spans="2:6" ht="14.1" customHeight="1" x14ac:dyDescent="0.25">
      <c r="B115" s="1414"/>
      <c r="C115" s="63">
        <v>2018</v>
      </c>
      <c r="D115" s="63">
        <v>2019</v>
      </c>
      <c r="E115" s="63">
        <v>2020</v>
      </c>
      <c r="F115" s="429">
        <v>2021</v>
      </c>
    </row>
    <row r="116" spans="2:6" ht="14.1" customHeight="1" thickBot="1" x14ac:dyDescent="0.3">
      <c r="B116" s="1415"/>
      <c r="C116" s="64" t="s">
        <v>10</v>
      </c>
      <c r="D116" s="64" t="s">
        <v>11</v>
      </c>
      <c r="E116" s="64" t="s">
        <v>11</v>
      </c>
      <c r="F116" s="424" t="s">
        <v>11</v>
      </c>
    </row>
    <row r="117" spans="2:6" ht="14.1" customHeight="1" thickBot="1" x14ac:dyDescent="0.3">
      <c r="B117" s="411" t="s">
        <v>20</v>
      </c>
      <c r="C117" s="468">
        <v>12731</v>
      </c>
      <c r="D117" s="448">
        <v>12931</v>
      </c>
      <c r="E117" s="448">
        <v>11231</v>
      </c>
      <c r="F117" s="449">
        <v>12931</v>
      </c>
    </row>
    <row r="118" spans="2:6" ht="14.1" customHeight="1" thickBot="1" x14ac:dyDescent="0.3">
      <c r="B118" s="411" t="s">
        <v>21</v>
      </c>
      <c r="C118" s="469">
        <f>C117/C114</f>
        <v>25.462</v>
      </c>
      <c r="D118" s="469">
        <f>D117/D114</f>
        <v>21.551666666666666</v>
      </c>
      <c r="E118" s="469">
        <f>E117/E114</f>
        <v>17.278461538461539</v>
      </c>
      <c r="F118" s="470">
        <f>F117/F114</f>
        <v>17.241333333333333</v>
      </c>
    </row>
    <row r="119" spans="2:6" ht="14.1" customHeight="1" thickBot="1" x14ac:dyDescent="0.3">
      <c r="B119" s="411" t="s">
        <v>22</v>
      </c>
      <c r="C119" s="392"/>
      <c r="D119" s="162">
        <f>D114/C114-1</f>
        <v>0.19999999999999996</v>
      </c>
      <c r="E119" s="162">
        <f>E114/D114-1</f>
        <v>8.3333333333333259E-2</v>
      </c>
      <c r="F119" s="432">
        <f>F114/E114-1</f>
        <v>0.15384615384615374</v>
      </c>
    </row>
    <row r="120" spans="2:6" ht="14.1" customHeight="1" thickBot="1" x14ac:dyDescent="0.3">
      <c r="B120" s="411" t="s">
        <v>24</v>
      </c>
      <c r="C120" s="392"/>
      <c r="D120" s="162">
        <f>D117/C117-1</f>
        <v>1.5709685020815378E-2</v>
      </c>
      <c r="E120" s="162">
        <f t="shared" ref="E120:F121" si="6">E117/D117-1</f>
        <v>-0.13146701724537935</v>
      </c>
      <c r="F120" s="432">
        <f t="shared" si="6"/>
        <v>0.15136675273795741</v>
      </c>
    </row>
    <row r="121" spans="2:6" ht="14.1" customHeight="1" thickBot="1" x14ac:dyDescent="0.3">
      <c r="B121" s="411" t="s">
        <v>25</v>
      </c>
      <c r="C121" s="392"/>
      <c r="D121" s="162">
        <f>D118/C118-1</f>
        <v>-0.15357526248265396</v>
      </c>
      <c r="E121" s="162">
        <f t="shared" si="6"/>
        <v>-0.19827724668804236</v>
      </c>
      <c r="F121" s="432">
        <f t="shared" si="6"/>
        <v>-2.1488142937702293E-3</v>
      </c>
    </row>
    <row r="122" spans="2:6" ht="14.1" customHeight="1" thickBot="1" x14ac:dyDescent="0.3">
      <c r="B122" s="1438" t="s">
        <v>875</v>
      </c>
      <c r="C122" s="1031"/>
      <c r="D122" s="1031"/>
      <c r="E122" s="1031"/>
      <c r="F122" s="1439"/>
    </row>
    <row r="123" spans="2:6" ht="14.25" customHeight="1" x14ac:dyDescent="0.25">
      <c r="B123" s="1414"/>
      <c r="C123" s="63">
        <v>2018</v>
      </c>
      <c r="D123" s="63">
        <v>2019</v>
      </c>
      <c r="E123" s="63">
        <v>2020</v>
      </c>
      <c r="F123" s="429">
        <v>2021</v>
      </c>
    </row>
    <row r="124" spans="2:6" ht="18" customHeight="1" thickBot="1" x14ac:dyDescent="0.3">
      <c r="B124" s="1415"/>
      <c r="C124" s="64" t="s">
        <v>10</v>
      </c>
      <c r="D124" s="64" t="s">
        <v>11</v>
      </c>
      <c r="E124" s="64" t="s">
        <v>11</v>
      </c>
      <c r="F124" s="424" t="s">
        <v>11</v>
      </c>
    </row>
    <row r="125" spans="2:6" ht="14.1" customHeight="1" thickBot="1" x14ac:dyDescent="0.3">
      <c r="B125" s="433" t="s">
        <v>26</v>
      </c>
      <c r="C125" s="164">
        <v>9622</v>
      </c>
      <c r="D125" s="164">
        <f>+C125</f>
        <v>9622</v>
      </c>
      <c r="E125" s="164">
        <f>+D125</f>
        <v>9622</v>
      </c>
      <c r="F125" s="434">
        <v>9622</v>
      </c>
    </row>
    <row r="126" spans="2:6" ht="14.1" customHeight="1" thickBot="1" x14ac:dyDescent="0.3">
      <c r="B126" s="433" t="s">
        <v>28</v>
      </c>
      <c r="C126" s="164">
        <v>1309</v>
      </c>
      <c r="D126" s="164">
        <f>+C126</f>
        <v>1309</v>
      </c>
      <c r="E126" s="164">
        <f>+D126</f>
        <v>1309</v>
      </c>
      <c r="F126" s="434">
        <v>1309</v>
      </c>
    </row>
    <row r="127" spans="2:6" ht="14.1" customHeight="1" thickBot="1" x14ac:dyDescent="0.3">
      <c r="B127" s="433" t="s">
        <v>30</v>
      </c>
      <c r="C127" s="164">
        <v>1800</v>
      </c>
      <c r="D127" s="164">
        <v>2000</v>
      </c>
      <c r="E127" s="164">
        <v>300</v>
      </c>
      <c r="F127" s="434">
        <v>2000</v>
      </c>
    </row>
    <row r="128" spans="2:6" ht="11.25" customHeight="1" thickBot="1" x14ac:dyDescent="0.3">
      <c r="B128" s="433" t="s">
        <v>32</v>
      </c>
      <c r="C128" s="165"/>
      <c r="D128" s="164"/>
      <c r="E128" s="164"/>
      <c r="F128" s="434"/>
    </row>
    <row r="129" spans="2:6" ht="16.5" customHeight="1" thickBot="1" x14ac:dyDescent="0.3">
      <c r="B129" s="433" t="s">
        <v>34</v>
      </c>
      <c r="C129" s="165"/>
      <c r="D129" s="164"/>
      <c r="E129" s="164"/>
      <c r="F129" s="434"/>
    </row>
    <row r="130" spans="2:6" ht="14.1" customHeight="1" thickBot="1" x14ac:dyDescent="0.3">
      <c r="B130" s="433" t="s">
        <v>36</v>
      </c>
      <c r="C130" s="165"/>
      <c r="D130" s="164"/>
      <c r="E130" s="164"/>
      <c r="F130" s="434"/>
    </row>
    <row r="131" spans="2:6" ht="14.1" customHeight="1" thickBot="1" x14ac:dyDescent="0.3">
      <c r="B131" s="459" t="s">
        <v>38</v>
      </c>
      <c r="C131" s="165"/>
      <c r="D131" s="164"/>
      <c r="E131" s="164"/>
      <c r="F131" s="434"/>
    </row>
    <row r="132" spans="2:6" ht="14.1" customHeight="1" thickBot="1" x14ac:dyDescent="0.3">
      <c r="B132" s="471" t="s">
        <v>40</v>
      </c>
      <c r="C132" s="436">
        <f>C131+C130+C129+C128+C127+C126+C125</f>
        <v>12731</v>
      </c>
      <c r="D132" s="436">
        <f>D131+D130+D129+D128+D127+D126+D125</f>
        <v>12931</v>
      </c>
      <c r="E132" s="436">
        <f>E131+E130+E129+E128+E127+E126+E125</f>
        <v>11231</v>
      </c>
      <c r="F132" s="437">
        <f>F131+F130+F129+F128+F127+F126+F125</f>
        <v>12931</v>
      </c>
    </row>
    <row r="133" spans="2:6" ht="14.1" customHeight="1" thickBot="1" x14ac:dyDescent="0.3">
      <c r="B133" s="438" t="s">
        <v>41</v>
      </c>
      <c r="C133" s="439">
        <f>IF(C132-C117=0,0,"Error")</f>
        <v>0</v>
      </c>
      <c r="D133" s="439">
        <f>IF(D132-D117=0,0,"Error")</f>
        <v>0</v>
      </c>
      <c r="E133" s="439">
        <f>IF(E132-E117=0,0,"Error")</f>
        <v>0</v>
      </c>
      <c r="F133" s="440">
        <f>IF(F132-F117=0,0,"Error")</f>
        <v>0</v>
      </c>
    </row>
    <row r="134" spans="2:6" ht="14.1" customHeight="1" thickBot="1" x14ac:dyDescent="0.3">
      <c r="B134" s="472" t="s">
        <v>882</v>
      </c>
      <c r="C134" s="473" t="s">
        <v>883</v>
      </c>
      <c r="D134" s="474"/>
      <c r="E134" s="474"/>
      <c r="F134" s="475"/>
    </row>
    <row r="135" spans="2:6" ht="39.75" customHeight="1" thickBot="1" x14ac:dyDescent="0.3">
      <c r="B135" s="443" t="s">
        <v>17</v>
      </c>
      <c r="C135" s="1425" t="s">
        <v>884</v>
      </c>
      <c r="D135" s="1426"/>
      <c r="E135" s="1426"/>
      <c r="F135" s="1427"/>
    </row>
    <row r="136" spans="2:6" ht="14.1" customHeight="1" thickBot="1" x14ac:dyDescent="0.3">
      <c r="B136" s="411" t="s">
        <v>18</v>
      </c>
      <c r="C136" s="1042" t="s">
        <v>518</v>
      </c>
      <c r="D136" s="1043"/>
      <c r="E136" s="1043"/>
      <c r="F136" s="1449"/>
    </row>
    <row r="137" spans="2:6" ht="14.1" customHeight="1" thickBot="1" x14ac:dyDescent="0.3">
      <c r="B137" s="411" t="s">
        <v>19</v>
      </c>
      <c r="C137" s="161">
        <v>2</v>
      </c>
      <c r="D137" s="161">
        <v>3</v>
      </c>
      <c r="E137" s="161">
        <v>4</v>
      </c>
      <c r="F137" s="422">
        <v>5</v>
      </c>
    </row>
    <row r="138" spans="2:6" ht="14.1" customHeight="1" x14ac:dyDescent="0.25">
      <c r="B138" s="1414"/>
      <c r="C138" s="63">
        <v>2018</v>
      </c>
      <c r="D138" s="63">
        <v>2019</v>
      </c>
      <c r="E138" s="63">
        <v>2020</v>
      </c>
      <c r="F138" s="429">
        <v>2021</v>
      </c>
    </row>
    <row r="139" spans="2:6" ht="14.1" customHeight="1" thickBot="1" x14ac:dyDescent="0.3">
      <c r="B139" s="1415"/>
      <c r="C139" s="64" t="s">
        <v>10</v>
      </c>
      <c r="D139" s="64" t="s">
        <v>11</v>
      </c>
      <c r="E139" s="64" t="s">
        <v>11</v>
      </c>
      <c r="F139" s="424" t="s">
        <v>11</v>
      </c>
    </row>
    <row r="140" spans="2:6" ht="14.1" customHeight="1" thickBot="1" x14ac:dyDescent="0.3">
      <c r="B140" s="411" t="s">
        <v>20</v>
      </c>
      <c r="C140" s="476">
        <v>300</v>
      </c>
      <c r="D140" s="448">
        <v>300</v>
      </c>
      <c r="E140" s="448">
        <v>300</v>
      </c>
      <c r="F140" s="449">
        <v>300</v>
      </c>
    </row>
    <row r="141" spans="2:6" ht="14.1" customHeight="1" thickBot="1" x14ac:dyDescent="0.3">
      <c r="B141" s="411" t="s">
        <v>21</v>
      </c>
      <c r="C141" s="469">
        <f>C140/C137</f>
        <v>150</v>
      </c>
      <c r="D141" s="469">
        <f>D140/D137</f>
        <v>100</v>
      </c>
      <c r="E141" s="469">
        <f>E140/E137</f>
        <v>75</v>
      </c>
      <c r="F141" s="469">
        <f>F140/F137</f>
        <v>60</v>
      </c>
    </row>
    <row r="142" spans="2:6" ht="14.1" customHeight="1" thickBot="1" x14ac:dyDescent="0.3">
      <c r="B142" s="411" t="s">
        <v>22</v>
      </c>
      <c r="C142" s="392"/>
      <c r="D142" s="162">
        <f>D137/C137-1</f>
        <v>0.5</v>
      </c>
      <c r="E142" s="162">
        <f>E137/D137-1</f>
        <v>0.33333333333333326</v>
      </c>
      <c r="F142" s="432">
        <f>F137/E137-1</f>
        <v>0.25</v>
      </c>
    </row>
    <row r="143" spans="2:6" ht="15.75" customHeight="1" thickBot="1" x14ac:dyDescent="0.3">
      <c r="B143" s="411" t="s">
        <v>24</v>
      </c>
      <c r="C143" s="392"/>
      <c r="D143" s="162">
        <f>D140/C140-1</f>
        <v>0</v>
      </c>
      <c r="E143" s="162">
        <f t="shared" ref="E143:F144" si="7">E140/D140-1</f>
        <v>0</v>
      </c>
      <c r="F143" s="432">
        <f t="shared" si="7"/>
        <v>0</v>
      </c>
    </row>
    <row r="144" spans="2:6" ht="14.1" customHeight="1" thickBot="1" x14ac:dyDescent="0.3">
      <c r="B144" s="411" t="s">
        <v>25</v>
      </c>
      <c r="C144" s="392"/>
      <c r="D144" s="162">
        <f>D141/C141-1</f>
        <v>-0.33333333333333337</v>
      </c>
      <c r="E144" s="162">
        <f t="shared" si="7"/>
        <v>-0.25</v>
      </c>
      <c r="F144" s="432">
        <f t="shared" si="7"/>
        <v>-0.19999999999999996</v>
      </c>
    </row>
    <row r="145" spans="2:6" ht="24.75" customHeight="1" thickBot="1" x14ac:dyDescent="0.3">
      <c r="B145" s="1454" t="s">
        <v>885</v>
      </c>
      <c r="C145" s="1307"/>
      <c r="D145" s="1307"/>
      <c r="E145" s="1307"/>
      <c r="F145" s="1455"/>
    </row>
    <row r="146" spans="2:6" ht="15.75" customHeight="1" x14ac:dyDescent="0.25">
      <c r="B146" s="1414"/>
      <c r="C146" s="63">
        <v>2018</v>
      </c>
      <c r="D146" s="63">
        <v>2019</v>
      </c>
      <c r="E146" s="63">
        <v>2020</v>
      </c>
      <c r="F146" s="429">
        <v>2021</v>
      </c>
    </row>
    <row r="147" spans="2:6" ht="20.25" customHeight="1" thickBot="1" x14ac:dyDescent="0.3">
      <c r="B147" s="1415"/>
      <c r="C147" s="64" t="s">
        <v>10</v>
      </c>
      <c r="D147" s="64" t="s">
        <v>11</v>
      </c>
      <c r="E147" s="64" t="s">
        <v>11</v>
      </c>
      <c r="F147" s="424" t="s">
        <v>11</v>
      </c>
    </row>
    <row r="148" spans="2:6" ht="14.1" customHeight="1" thickBot="1" x14ac:dyDescent="0.3">
      <c r="B148" s="477" t="s">
        <v>26</v>
      </c>
      <c r="C148" s="203"/>
      <c r="D148" s="203"/>
      <c r="E148" s="203"/>
      <c r="F148" s="478"/>
    </row>
    <row r="149" spans="2:6" ht="11.25" customHeight="1" thickBot="1" x14ac:dyDescent="0.3">
      <c r="B149" s="477" t="s">
        <v>28</v>
      </c>
      <c r="C149" s="203"/>
      <c r="D149" s="203"/>
      <c r="E149" s="203"/>
      <c r="F149" s="478"/>
    </row>
    <row r="150" spans="2:6" ht="14.1" customHeight="1" thickBot="1" x14ac:dyDescent="0.3">
      <c r="B150" s="477" t="s">
        <v>30</v>
      </c>
      <c r="C150" s="243">
        <v>300</v>
      </c>
      <c r="D150" s="203">
        <v>300</v>
      </c>
      <c r="E150" s="203">
        <v>300</v>
      </c>
      <c r="F150" s="478">
        <v>300</v>
      </c>
    </row>
    <row r="151" spans="2:6" ht="14.1" customHeight="1" thickBot="1" x14ac:dyDescent="0.3">
      <c r="B151" s="477" t="s">
        <v>32</v>
      </c>
      <c r="C151" s="243"/>
      <c r="D151" s="203"/>
      <c r="E151" s="203"/>
      <c r="F151" s="478"/>
    </row>
    <row r="152" spans="2:6" ht="14.1" customHeight="1" thickBot="1" x14ac:dyDescent="0.3">
      <c r="B152" s="477" t="s">
        <v>34</v>
      </c>
      <c r="C152" s="243"/>
      <c r="D152" s="203"/>
      <c r="E152" s="203"/>
      <c r="F152" s="478"/>
    </row>
    <row r="153" spans="2:6" ht="13.5" customHeight="1" thickBot="1" x14ac:dyDescent="0.3">
      <c r="B153" s="477" t="s">
        <v>36</v>
      </c>
      <c r="C153" s="243"/>
      <c r="D153" s="203"/>
      <c r="E153" s="203"/>
      <c r="F153" s="478"/>
    </row>
    <row r="154" spans="2:6" ht="14.1" customHeight="1" thickBot="1" x14ac:dyDescent="0.3">
      <c r="B154" s="479" t="s">
        <v>38</v>
      </c>
      <c r="C154" s="243"/>
      <c r="D154" s="203"/>
      <c r="E154" s="203"/>
      <c r="F154" s="478"/>
    </row>
    <row r="155" spans="2:6" ht="14.1" customHeight="1" thickBot="1" x14ac:dyDescent="0.3">
      <c r="B155" s="480" t="s">
        <v>43</v>
      </c>
      <c r="C155" s="481">
        <f>C154+C153+C152+C151+C150+C149+C148</f>
        <v>300</v>
      </c>
      <c r="D155" s="481">
        <f>D154+D153+D152+D151+D150+D149+D148</f>
        <v>300</v>
      </c>
      <c r="E155" s="481">
        <f>E154+E153+E152+E151+E150+E149+E148</f>
        <v>300</v>
      </c>
      <c r="F155" s="482">
        <f>F154+F153+F152+F151+F150+F149+F148</f>
        <v>300</v>
      </c>
    </row>
    <row r="156" spans="2:6" ht="14.1" customHeight="1" thickBot="1" x14ac:dyDescent="0.3">
      <c r="B156" s="483" t="s">
        <v>862</v>
      </c>
      <c r="C156" s="484">
        <v>3000</v>
      </c>
      <c r="D156" s="485">
        <v>3000</v>
      </c>
      <c r="E156" s="485">
        <v>3000</v>
      </c>
      <c r="F156" s="486">
        <v>3000</v>
      </c>
    </row>
    <row r="157" spans="2:6" ht="14.1" customHeight="1" thickBot="1" x14ac:dyDescent="0.3">
      <c r="B157" s="487" t="s">
        <v>41</v>
      </c>
      <c r="C157" s="488">
        <v>0</v>
      </c>
      <c r="D157" s="488">
        <v>0</v>
      </c>
      <c r="E157" s="488">
        <v>0</v>
      </c>
      <c r="F157" s="440">
        <v>0</v>
      </c>
    </row>
    <row r="158" spans="2:6" ht="12.75" customHeight="1" thickBot="1" x14ac:dyDescent="0.3">
      <c r="B158" s="1468" t="s">
        <v>616</v>
      </c>
      <c r="C158" s="1423"/>
      <c r="D158" s="1423"/>
      <c r="E158" s="1423"/>
      <c r="F158" s="1424"/>
    </row>
    <row r="159" spans="2:6" ht="19.5" customHeight="1" thickBot="1" x14ac:dyDescent="0.3">
      <c r="B159" s="1468" t="s">
        <v>63</v>
      </c>
      <c r="C159" s="1423"/>
      <c r="D159" s="1423"/>
      <c r="E159" s="1423"/>
      <c r="F159" s="1424"/>
    </row>
    <row r="160" spans="2:6" ht="14.1" customHeight="1" thickBot="1" x14ac:dyDescent="0.3">
      <c r="B160" s="1422" t="s">
        <v>64</v>
      </c>
      <c r="C160" s="1230"/>
      <c r="D160" s="1230"/>
      <c r="E160" s="1230"/>
      <c r="F160" s="1469"/>
    </row>
    <row r="161" spans="2:6" ht="14.1" customHeight="1" thickBot="1" x14ac:dyDescent="0.3">
      <c r="B161" s="489" t="s">
        <v>61</v>
      </c>
      <c r="C161" s="1074" t="s">
        <v>130</v>
      </c>
      <c r="D161" s="1075"/>
      <c r="E161" s="1075"/>
      <c r="F161" s="1456"/>
    </row>
    <row r="162" spans="2:6" ht="14.1" customHeight="1" thickBot="1" x14ac:dyDescent="0.3">
      <c r="B162" s="427" t="s">
        <v>16</v>
      </c>
      <c r="C162" s="1464" t="s">
        <v>886</v>
      </c>
      <c r="D162" s="1465"/>
      <c r="E162" s="1465" t="s">
        <v>886</v>
      </c>
      <c r="F162" s="1466"/>
    </row>
    <row r="163" spans="2:6" ht="90.75" customHeight="1" thickBot="1" x14ac:dyDescent="0.3">
      <c r="B163" s="489" t="s">
        <v>17</v>
      </c>
      <c r="C163" s="1450" t="s">
        <v>887</v>
      </c>
      <c r="D163" s="1451"/>
      <c r="E163" s="1451"/>
      <c r="F163" s="1452"/>
    </row>
    <row r="164" spans="2:6" ht="14.1" customHeight="1" thickBot="1" x14ac:dyDescent="0.3">
      <c r="B164" s="411" t="s">
        <v>18</v>
      </c>
      <c r="C164" s="995" t="s">
        <v>518</v>
      </c>
      <c r="D164" s="996"/>
      <c r="E164" s="996"/>
      <c r="F164" s="1453"/>
    </row>
    <row r="165" spans="2:6" ht="14.1" customHeight="1" x14ac:dyDescent="0.25">
      <c r="B165" s="1414"/>
      <c r="C165" s="63">
        <v>2018</v>
      </c>
      <c r="D165" s="63">
        <v>2019</v>
      </c>
      <c r="E165" s="63">
        <v>2020</v>
      </c>
      <c r="F165" s="429">
        <v>2021</v>
      </c>
    </row>
    <row r="166" spans="2:6" ht="14.1" customHeight="1" thickBot="1" x14ac:dyDescent="0.3">
      <c r="B166" s="1415"/>
      <c r="C166" s="64" t="s">
        <v>10</v>
      </c>
      <c r="D166" s="64" t="s">
        <v>11</v>
      </c>
      <c r="E166" s="64" t="s">
        <v>11</v>
      </c>
      <c r="F166" s="424" t="s">
        <v>11</v>
      </c>
    </row>
    <row r="167" spans="2:6" ht="14.1" customHeight="1" thickBot="1" x14ac:dyDescent="0.3">
      <c r="B167" s="411" t="s">
        <v>19</v>
      </c>
      <c r="C167" s="161">
        <v>9</v>
      </c>
      <c r="D167" s="161">
        <v>12</v>
      </c>
      <c r="E167" s="161">
        <v>20</v>
      </c>
      <c r="F167" s="422">
        <v>21</v>
      </c>
    </row>
    <row r="168" spans="2:6" ht="14.1" customHeight="1" thickBot="1" x14ac:dyDescent="0.3">
      <c r="B168" s="411" t="s">
        <v>20</v>
      </c>
      <c r="C168" s="161">
        <v>1500</v>
      </c>
      <c r="D168" s="161">
        <v>1500</v>
      </c>
      <c r="E168" s="161">
        <v>3000</v>
      </c>
      <c r="F168" s="422">
        <v>2250</v>
      </c>
    </row>
    <row r="169" spans="2:6" ht="14.1" customHeight="1" thickBot="1" x14ac:dyDescent="0.3">
      <c r="B169" s="411" t="s">
        <v>21</v>
      </c>
      <c r="C169" s="430">
        <f>C168/C167</f>
        <v>166.66666666666666</v>
      </c>
      <c r="D169" s="430">
        <f t="shared" ref="D169:F169" si="8">D168/D167</f>
        <v>125</v>
      </c>
      <c r="E169" s="430">
        <f t="shared" si="8"/>
        <v>150</v>
      </c>
      <c r="F169" s="431">
        <f t="shared" si="8"/>
        <v>107.14285714285714</v>
      </c>
    </row>
    <row r="170" spans="2:6" ht="14.1" customHeight="1" thickBot="1" x14ac:dyDescent="0.3">
      <c r="B170" s="411" t="s">
        <v>22</v>
      </c>
      <c r="C170" s="392" t="s">
        <v>23</v>
      </c>
      <c r="D170" s="162">
        <f>D167/C167-1</f>
        <v>0.33333333333333326</v>
      </c>
      <c r="E170" s="162">
        <f t="shared" ref="E170:F172" si="9">E167/D167-1</f>
        <v>0.66666666666666674</v>
      </c>
      <c r="F170" s="432">
        <f t="shared" si="9"/>
        <v>5.0000000000000044E-2</v>
      </c>
    </row>
    <row r="171" spans="2:6" ht="14.1" customHeight="1" thickBot="1" x14ac:dyDescent="0.3">
      <c r="B171" s="411" t="s">
        <v>24</v>
      </c>
      <c r="C171" s="392" t="s">
        <v>23</v>
      </c>
      <c r="D171" s="162">
        <f>D168/C168-1</f>
        <v>0</v>
      </c>
      <c r="E171" s="162">
        <f t="shared" si="9"/>
        <v>1</v>
      </c>
      <c r="F171" s="432">
        <f t="shared" si="9"/>
        <v>-0.25</v>
      </c>
    </row>
    <row r="172" spans="2:6" ht="21.75" customHeight="1" thickBot="1" x14ac:dyDescent="0.3">
      <c r="B172" s="411" t="s">
        <v>25</v>
      </c>
      <c r="C172" s="392" t="s">
        <v>23</v>
      </c>
      <c r="D172" s="162">
        <f>D169/C169-1</f>
        <v>-0.25</v>
      </c>
      <c r="E172" s="162">
        <f t="shared" si="9"/>
        <v>0.19999999999999996</v>
      </c>
      <c r="F172" s="432">
        <f t="shared" si="9"/>
        <v>-0.2857142857142857</v>
      </c>
    </row>
    <row r="173" spans="2:6" ht="25.5" customHeight="1" thickBot="1" x14ac:dyDescent="0.3">
      <c r="B173" s="1438" t="s">
        <v>118</v>
      </c>
      <c r="C173" s="1031"/>
      <c r="D173" s="1031"/>
      <c r="E173" s="1031"/>
      <c r="F173" s="1439"/>
    </row>
    <row r="174" spans="2:6" ht="14.1" customHeight="1" x14ac:dyDescent="0.25">
      <c r="B174" s="1414"/>
      <c r="C174" s="63">
        <v>2018</v>
      </c>
      <c r="D174" s="63">
        <v>2019</v>
      </c>
      <c r="E174" s="63">
        <v>2020</v>
      </c>
      <c r="F174" s="429">
        <v>2021</v>
      </c>
    </row>
    <row r="175" spans="2:6" ht="14.1" customHeight="1" thickBot="1" x14ac:dyDescent="0.3">
      <c r="B175" s="1415"/>
      <c r="C175" s="64" t="s">
        <v>10</v>
      </c>
      <c r="D175" s="64" t="s">
        <v>11</v>
      </c>
      <c r="E175" s="64" t="s">
        <v>11</v>
      </c>
      <c r="F175" s="424" t="s">
        <v>11</v>
      </c>
    </row>
    <row r="176" spans="2:6" ht="14.1" customHeight="1" thickBot="1" x14ac:dyDescent="0.3">
      <c r="B176" s="433" t="s">
        <v>58</v>
      </c>
      <c r="C176" s="164"/>
      <c r="D176" s="164"/>
      <c r="E176" s="164"/>
      <c r="F176" s="434"/>
    </row>
    <row r="177" spans="2:6" ht="14.1" customHeight="1" thickBot="1" x14ac:dyDescent="0.3">
      <c r="B177" s="459" t="s">
        <v>59</v>
      </c>
      <c r="C177" s="165">
        <v>1500</v>
      </c>
      <c r="D177" s="164">
        <v>1500</v>
      </c>
      <c r="E177" s="164">
        <v>3000</v>
      </c>
      <c r="F177" s="434">
        <v>2250</v>
      </c>
    </row>
    <row r="178" spans="2:6" ht="30" customHeight="1" thickBot="1" x14ac:dyDescent="0.3">
      <c r="B178" s="490" t="s">
        <v>40</v>
      </c>
      <c r="C178" s="201">
        <f>C177+C176</f>
        <v>1500</v>
      </c>
      <c r="D178" s="201">
        <f t="shared" ref="D178:F178" si="10">D177+D176</f>
        <v>1500</v>
      </c>
      <c r="E178" s="201">
        <f t="shared" si="10"/>
        <v>3000</v>
      </c>
      <c r="F178" s="491">
        <f t="shared" si="10"/>
        <v>2250</v>
      </c>
    </row>
    <row r="179" spans="2:6" ht="14.1" customHeight="1" thickBot="1" x14ac:dyDescent="0.3">
      <c r="B179" s="489"/>
      <c r="C179" s="1074"/>
      <c r="D179" s="1075"/>
      <c r="E179" s="1075"/>
      <c r="F179" s="1456"/>
    </row>
    <row r="180" spans="2:6" ht="14.1" customHeight="1" thickBot="1" x14ac:dyDescent="0.3">
      <c r="B180" s="492" t="s">
        <v>61</v>
      </c>
      <c r="C180" s="1464" t="s">
        <v>888</v>
      </c>
      <c r="D180" s="1465"/>
      <c r="E180" s="1465"/>
      <c r="F180" s="1466"/>
    </row>
    <row r="181" spans="2:6" ht="14.1" customHeight="1" thickBot="1" x14ac:dyDescent="0.3">
      <c r="B181" s="427" t="s">
        <v>846</v>
      </c>
      <c r="C181" s="1464" t="s">
        <v>888</v>
      </c>
      <c r="D181" s="1465"/>
      <c r="E181" s="1465"/>
      <c r="F181" s="1466"/>
    </row>
    <row r="182" spans="2:6" ht="39.75" customHeight="1" thickBot="1" x14ac:dyDescent="0.3">
      <c r="B182" s="489" t="s">
        <v>17</v>
      </c>
      <c r="C182" s="1450" t="s">
        <v>889</v>
      </c>
      <c r="D182" s="1451" t="s">
        <v>890</v>
      </c>
      <c r="E182" s="1451" t="s">
        <v>890</v>
      </c>
      <c r="F182" s="1452" t="s">
        <v>890</v>
      </c>
    </row>
    <row r="183" spans="2:6" ht="14.1" customHeight="1" thickBot="1" x14ac:dyDescent="0.3">
      <c r="B183" s="489" t="s">
        <v>18</v>
      </c>
      <c r="C183" s="1235" t="s">
        <v>518</v>
      </c>
      <c r="D183" s="1236"/>
      <c r="E183" s="1236"/>
      <c r="F183" s="1467"/>
    </row>
    <row r="184" spans="2:6" ht="14.1" customHeight="1" x14ac:dyDescent="0.25">
      <c r="B184" s="1457"/>
      <c r="C184" s="231">
        <v>2018</v>
      </c>
      <c r="D184" s="231">
        <v>2019</v>
      </c>
      <c r="E184" s="231">
        <v>2020</v>
      </c>
      <c r="F184" s="493">
        <v>2021</v>
      </c>
    </row>
    <row r="185" spans="2:6" ht="14.1" customHeight="1" thickBot="1" x14ac:dyDescent="0.3">
      <c r="B185" s="1458"/>
      <c r="C185" s="232" t="s">
        <v>10</v>
      </c>
      <c r="D185" s="232" t="s">
        <v>11</v>
      </c>
      <c r="E185" s="232" t="s">
        <v>11</v>
      </c>
      <c r="F185" s="494" t="s">
        <v>11</v>
      </c>
    </row>
    <row r="186" spans="2:6" ht="14.1" customHeight="1" thickBot="1" x14ac:dyDescent="0.3">
      <c r="B186" s="489" t="s">
        <v>19</v>
      </c>
      <c r="C186" s="194"/>
      <c r="D186" s="194">
        <v>1</v>
      </c>
      <c r="E186" s="194"/>
      <c r="F186" s="495"/>
    </row>
    <row r="187" spans="2:6" ht="14.1" customHeight="1" thickBot="1" x14ac:dyDescent="0.3">
      <c r="B187" s="489" t="s">
        <v>20</v>
      </c>
      <c r="C187" s="194"/>
      <c r="D187" s="194">
        <v>1500</v>
      </c>
      <c r="E187" s="194"/>
      <c r="F187" s="495"/>
    </row>
    <row r="188" spans="2:6" ht="14.1" customHeight="1" thickBot="1" x14ac:dyDescent="0.3">
      <c r="B188" s="489" t="s">
        <v>21</v>
      </c>
      <c r="C188" s="194" t="e">
        <f>C187/C186</f>
        <v>#DIV/0!</v>
      </c>
      <c r="D188" s="194">
        <f t="shared" ref="D188:F188" si="11">D187/D186</f>
        <v>1500</v>
      </c>
      <c r="E188" s="194" t="e">
        <f t="shared" si="11"/>
        <v>#DIV/0!</v>
      </c>
      <c r="F188" s="495" t="e">
        <f t="shared" si="11"/>
        <v>#DIV/0!</v>
      </c>
    </row>
    <row r="189" spans="2:6" ht="14.1" customHeight="1" thickBot="1" x14ac:dyDescent="0.3">
      <c r="B189" s="489" t="s">
        <v>22</v>
      </c>
      <c r="C189" s="395" t="s">
        <v>23</v>
      </c>
      <c r="D189" s="234" t="e">
        <f>D186/C186-1</f>
        <v>#DIV/0!</v>
      </c>
      <c r="E189" s="234">
        <f t="shared" ref="E189:F191" si="12">E186/D186-1</f>
        <v>-1</v>
      </c>
      <c r="F189" s="496" t="e">
        <f t="shared" si="12"/>
        <v>#DIV/0!</v>
      </c>
    </row>
    <row r="190" spans="2:6" ht="14.1" customHeight="1" thickBot="1" x14ac:dyDescent="0.3">
      <c r="B190" s="489" t="s">
        <v>24</v>
      </c>
      <c r="C190" s="395" t="s">
        <v>23</v>
      </c>
      <c r="D190" s="234" t="e">
        <f>D187/C187-1</f>
        <v>#DIV/0!</v>
      </c>
      <c r="E190" s="234">
        <f t="shared" si="12"/>
        <v>-1</v>
      </c>
      <c r="F190" s="496" t="e">
        <f t="shared" si="12"/>
        <v>#DIV/0!</v>
      </c>
    </row>
    <row r="191" spans="2:6" ht="21.75" customHeight="1" thickBot="1" x14ac:dyDescent="0.3">
      <c r="B191" s="489" t="s">
        <v>25</v>
      </c>
      <c r="C191" s="395" t="s">
        <v>23</v>
      </c>
      <c r="D191" s="234" t="e">
        <f>D188/C188-1</f>
        <v>#DIV/0!</v>
      </c>
      <c r="E191" s="234" t="e">
        <f t="shared" si="12"/>
        <v>#DIV/0!</v>
      </c>
      <c r="F191" s="496" t="e">
        <f t="shared" si="12"/>
        <v>#DIV/0!</v>
      </c>
    </row>
    <row r="192" spans="2:6" ht="14.25" customHeight="1" thickBot="1" x14ac:dyDescent="0.3">
      <c r="B192" s="1459" t="s">
        <v>891</v>
      </c>
      <c r="C192" s="1460"/>
      <c r="D192" s="1460"/>
      <c r="E192" s="1460"/>
      <c r="F192" s="1461"/>
    </row>
    <row r="193" spans="2:6" ht="14.1" customHeight="1" x14ac:dyDescent="0.25">
      <c r="B193" s="1457"/>
      <c r="C193" s="231">
        <v>2018</v>
      </c>
      <c r="D193" s="231">
        <v>2019</v>
      </c>
      <c r="E193" s="231">
        <v>2020</v>
      </c>
      <c r="F193" s="493">
        <v>2021</v>
      </c>
    </row>
    <row r="194" spans="2:6" ht="14.1" customHeight="1" thickBot="1" x14ac:dyDescent="0.3">
      <c r="B194" s="1458"/>
      <c r="C194" s="232" t="s">
        <v>10</v>
      </c>
      <c r="D194" s="232" t="s">
        <v>11</v>
      </c>
      <c r="E194" s="232" t="s">
        <v>11</v>
      </c>
      <c r="F194" s="494" t="s">
        <v>11</v>
      </c>
    </row>
    <row r="195" spans="2:6" ht="14.1" customHeight="1" thickBot="1" x14ac:dyDescent="0.3">
      <c r="B195" s="497" t="s">
        <v>58</v>
      </c>
      <c r="C195" s="498"/>
      <c r="D195" s="498"/>
      <c r="E195" s="498"/>
      <c r="F195" s="499"/>
    </row>
    <row r="196" spans="2:6" ht="14.1" customHeight="1" thickBot="1" x14ac:dyDescent="0.3">
      <c r="B196" s="500" t="s">
        <v>59</v>
      </c>
      <c r="C196" s="501"/>
      <c r="D196" s="502">
        <v>1500</v>
      </c>
      <c r="E196" s="502"/>
      <c r="F196" s="503"/>
    </row>
    <row r="197" spans="2:6" ht="14.1" customHeight="1" thickBot="1" x14ac:dyDescent="0.3">
      <c r="B197" s="504" t="s">
        <v>43</v>
      </c>
      <c r="C197" s="505">
        <f>C196+C195</f>
        <v>0</v>
      </c>
      <c r="D197" s="505">
        <f t="shared" ref="D197:F197" si="13">D196+D195</f>
        <v>1500</v>
      </c>
      <c r="E197" s="505">
        <f t="shared" si="13"/>
        <v>0</v>
      </c>
      <c r="F197" s="506">
        <f t="shared" si="13"/>
        <v>0</v>
      </c>
    </row>
    <row r="198" spans="2:6" ht="14.1" customHeight="1" thickBot="1" x14ac:dyDescent="0.3">
      <c r="B198" s="489"/>
      <c r="C198" s="1074"/>
      <c r="D198" s="1075"/>
      <c r="E198" s="1075"/>
      <c r="F198" s="1456"/>
    </row>
    <row r="199" spans="2:6" ht="14.1" customHeight="1" thickBot="1" x14ac:dyDescent="0.3">
      <c r="B199" s="492" t="s">
        <v>61</v>
      </c>
      <c r="C199" s="1462" t="s">
        <v>892</v>
      </c>
      <c r="D199" s="1463"/>
      <c r="E199" s="1463" t="s">
        <v>892</v>
      </c>
      <c r="F199" s="1463"/>
    </row>
    <row r="200" spans="2:6" ht="25.5" customHeight="1" thickBot="1" x14ac:dyDescent="0.3">
      <c r="B200" s="427" t="s">
        <v>66</v>
      </c>
      <c r="C200" s="1464" t="s">
        <v>892</v>
      </c>
      <c r="D200" s="1465"/>
      <c r="E200" s="1465" t="s">
        <v>892</v>
      </c>
      <c r="F200" s="1466"/>
    </row>
    <row r="201" spans="2:6" ht="36.75" customHeight="1" thickBot="1" x14ac:dyDescent="0.3">
      <c r="B201" s="489" t="s">
        <v>17</v>
      </c>
      <c r="C201" s="1450" t="s">
        <v>893</v>
      </c>
      <c r="D201" s="1451" t="s">
        <v>890</v>
      </c>
      <c r="E201" s="1451" t="s">
        <v>890</v>
      </c>
      <c r="F201" s="1452" t="s">
        <v>890</v>
      </c>
    </row>
    <row r="202" spans="2:6" ht="14.1" customHeight="1" thickBot="1" x14ac:dyDescent="0.3">
      <c r="B202" s="411" t="s">
        <v>18</v>
      </c>
      <c r="C202" s="995" t="s">
        <v>518</v>
      </c>
      <c r="D202" s="996"/>
      <c r="E202" s="996"/>
      <c r="F202" s="1453"/>
    </row>
    <row r="203" spans="2:6" ht="14.1" customHeight="1" x14ac:dyDescent="0.25">
      <c r="B203" s="1414"/>
      <c r="C203" s="63">
        <v>2018</v>
      </c>
      <c r="D203" s="63">
        <v>2019</v>
      </c>
      <c r="E203" s="63">
        <v>2020</v>
      </c>
      <c r="F203" s="429">
        <v>2021</v>
      </c>
    </row>
    <row r="204" spans="2:6" ht="14.1" customHeight="1" thickBot="1" x14ac:dyDescent="0.3">
      <c r="B204" s="1415"/>
      <c r="C204" s="64" t="s">
        <v>10</v>
      </c>
      <c r="D204" s="64" t="s">
        <v>11</v>
      </c>
      <c r="E204" s="64" t="s">
        <v>11</v>
      </c>
      <c r="F204" s="424" t="s">
        <v>11</v>
      </c>
    </row>
    <row r="205" spans="2:6" ht="14.1" customHeight="1" thickBot="1" x14ac:dyDescent="0.3">
      <c r="B205" s="411" t="s">
        <v>19</v>
      </c>
      <c r="C205" s="161"/>
      <c r="D205" s="161"/>
      <c r="E205" s="161"/>
      <c r="F205" s="422">
        <v>1</v>
      </c>
    </row>
    <row r="206" spans="2:6" ht="14.1" customHeight="1" thickBot="1" x14ac:dyDescent="0.3">
      <c r="B206" s="411" t="s">
        <v>20</v>
      </c>
      <c r="C206" s="161"/>
      <c r="D206" s="161"/>
      <c r="E206" s="161"/>
      <c r="F206" s="422">
        <v>750</v>
      </c>
    </row>
    <row r="207" spans="2:6" ht="14.1" customHeight="1" thickBot="1" x14ac:dyDescent="0.3">
      <c r="B207" s="411" t="s">
        <v>21</v>
      </c>
      <c r="C207" s="161" t="e">
        <f>C206/C205</f>
        <v>#DIV/0!</v>
      </c>
      <c r="D207" s="161" t="e">
        <f t="shared" ref="D207:F207" si="14">D206/D205</f>
        <v>#DIV/0!</v>
      </c>
      <c r="E207" s="161" t="e">
        <f t="shared" si="14"/>
        <v>#DIV/0!</v>
      </c>
      <c r="F207" s="422">
        <f t="shared" si="14"/>
        <v>750</v>
      </c>
    </row>
    <row r="208" spans="2:6" ht="14.1" customHeight="1" thickBot="1" x14ac:dyDescent="0.3">
      <c r="B208" s="411" t="s">
        <v>22</v>
      </c>
      <c r="C208" s="392" t="s">
        <v>23</v>
      </c>
      <c r="D208" s="162" t="e">
        <f>D205/C205-1</f>
        <v>#DIV/0!</v>
      </c>
      <c r="E208" s="162" t="e">
        <f t="shared" ref="E208:F210" si="15">E205/D205-1</f>
        <v>#DIV/0!</v>
      </c>
      <c r="F208" s="432" t="e">
        <f t="shared" si="15"/>
        <v>#DIV/0!</v>
      </c>
    </row>
    <row r="209" spans="2:6" ht="14.1" customHeight="1" thickBot="1" x14ac:dyDescent="0.3">
      <c r="B209" s="411" t="s">
        <v>24</v>
      </c>
      <c r="C209" s="392" t="s">
        <v>23</v>
      </c>
      <c r="D209" s="162" t="e">
        <f>D206/C206-1</f>
        <v>#DIV/0!</v>
      </c>
      <c r="E209" s="162" t="e">
        <f t="shared" si="15"/>
        <v>#DIV/0!</v>
      </c>
      <c r="F209" s="432" t="e">
        <f t="shared" si="15"/>
        <v>#DIV/0!</v>
      </c>
    </row>
    <row r="210" spans="2:6" ht="18" customHeight="1" thickBot="1" x14ac:dyDescent="0.3">
      <c r="B210" s="411" t="s">
        <v>25</v>
      </c>
      <c r="C210" s="392" t="s">
        <v>23</v>
      </c>
      <c r="D210" s="162" t="e">
        <f>D207/C207-1</f>
        <v>#DIV/0!</v>
      </c>
      <c r="E210" s="162" t="e">
        <f t="shared" si="15"/>
        <v>#DIV/0!</v>
      </c>
      <c r="F210" s="432" t="e">
        <f t="shared" si="15"/>
        <v>#DIV/0!</v>
      </c>
    </row>
    <row r="211" spans="2:6" ht="14.1" customHeight="1" thickBot="1" x14ac:dyDescent="0.3">
      <c r="B211" s="1454" t="s">
        <v>894</v>
      </c>
      <c r="C211" s="1307"/>
      <c r="D211" s="1307"/>
      <c r="E211" s="1307"/>
      <c r="F211" s="1455"/>
    </row>
    <row r="212" spans="2:6" ht="14.1" customHeight="1" x14ac:dyDescent="0.25">
      <c r="B212" s="1414"/>
      <c r="C212" s="63">
        <v>2018</v>
      </c>
      <c r="D212" s="63">
        <v>2019</v>
      </c>
      <c r="E212" s="63">
        <v>2020</v>
      </c>
      <c r="F212" s="429">
        <v>2021</v>
      </c>
    </row>
    <row r="213" spans="2:6" ht="14.1" customHeight="1" thickBot="1" x14ac:dyDescent="0.3">
      <c r="B213" s="1415"/>
      <c r="C213" s="64" t="s">
        <v>10</v>
      </c>
      <c r="D213" s="64" t="s">
        <v>11</v>
      </c>
      <c r="E213" s="64" t="s">
        <v>11</v>
      </c>
      <c r="F213" s="424" t="s">
        <v>11</v>
      </c>
    </row>
    <row r="214" spans="2:6" ht="14.1" customHeight="1" thickBot="1" x14ac:dyDescent="0.3">
      <c r="B214" s="479" t="s">
        <v>58</v>
      </c>
      <c r="C214" s="507"/>
      <c r="D214" s="507"/>
      <c r="E214" s="507"/>
      <c r="F214" s="508"/>
    </row>
    <row r="215" spans="2:6" ht="14.1" customHeight="1" thickBot="1" x14ac:dyDescent="0.3">
      <c r="B215" s="509" t="s">
        <v>59</v>
      </c>
      <c r="C215" s="510">
        <v>1500</v>
      </c>
      <c r="D215" s="511"/>
      <c r="E215" s="511"/>
      <c r="F215" s="512">
        <v>750</v>
      </c>
    </row>
    <row r="216" spans="2:6" ht="14.1" customHeight="1" thickBot="1" x14ac:dyDescent="0.3">
      <c r="B216" s="513" t="s">
        <v>54</v>
      </c>
      <c r="C216" s="514">
        <f>C215+C214</f>
        <v>1500</v>
      </c>
      <c r="D216" s="514">
        <f t="shared" ref="D216:F216" si="16">D215+D214</f>
        <v>0</v>
      </c>
      <c r="E216" s="514">
        <f t="shared" si="16"/>
        <v>0</v>
      </c>
      <c r="F216" s="515">
        <f t="shared" si="16"/>
        <v>750</v>
      </c>
    </row>
    <row r="217" spans="2:6" ht="14.1" customHeight="1" thickBot="1" x14ac:dyDescent="0.3">
      <c r="B217" s="489"/>
      <c r="C217" s="1074"/>
      <c r="D217" s="1075"/>
      <c r="E217" s="1075"/>
      <c r="F217" s="1456"/>
    </row>
    <row r="218" spans="2:6" ht="14.1" customHeight="1" thickBot="1" x14ac:dyDescent="0.3">
      <c r="B218" s="416" t="s">
        <v>895</v>
      </c>
      <c r="C218" s="1443" t="s">
        <v>896</v>
      </c>
      <c r="D218" s="1444" t="s">
        <v>896</v>
      </c>
      <c r="E218" s="1444" t="s">
        <v>896</v>
      </c>
      <c r="F218" s="1445" t="s">
        <v>896</v>
      </c>
    </row>
    <row r="219" spans="2:6" ht="24" customHeight="1" thickBot="1" x14ac:dyDescent="0.3">
      <c r="B219" s="1419" t="s">
        <v>103</v>
      </c>
      <c r="C219" s="1420"/>
      <c r="D219" s="1420"/>
      <c r="E219" s="1420"/>
      <c r="F219" s="1421"/>
    </row>
    <row r="220" spans="2:6" ht="14.1" customHeight="1" thickBot="1" x14ac:dyDescent="0.3">
      <c r="B220" s="516" t="s">
        <v>897</v>
      </c>
      <c r="C220" s="517">
        <v>2018</v>
      </c>
      <c r="D220" s="518">
        <v>2019</v>
      </c>
      <c r="E220" s="518">
        <v>2020</v>
      </c>
      <c r="F220" s="519">
        <v>2021</v>
      </c>
    </row>
    <row r="221" spans="2:6" ht="14.1" customHeight="1" thickBot="1" x14ac:dyDescent="0.3">
      <c r="B221" s="520"/>
      <c r="C221" s="231" t="s">
        <v>10</v>
      </c>
      <c r="D221" s="231" t="s">
        <v>11</v>
      </c>
      <c r="E221" s="231" t="s">
        <v>11</v>
      </c>
      <c r="F221" s="493" t="s">
        <v>11</v>
      </c>
    </row>
    <row r="222" spans="2:6" ht="14.1" customHeight="1" thickBot="1" x14ac:dyDescent="0.3">
      <c r="B222" s="443" t="s">
        <v>862</v>
      </c>
      <c r="C222" s="444">
        <v>14360</v>
      </c>
      <c r="D222" s="444">
        <v>15160</v>
      </c>
      <c r="E222" s="444">
        <v>15860</v>
      </c>
      <c r="F222" s="444">
        <v>15659</v>
      </c>
    </row>
    <row r="223" spans="2:6" ht="12.75" customHeight="1" thickBot="1" x14ac:dyDescent="0.3">
      <c r="B223" s="1422" t="s">
        <v>898</v>
      </c>
      <c r="C223" s="1423"/>
      <c r="D223" s="1423"/>
      <c r="E223" s="1423"/>
      <c r="F223" s="1424"/>
    </row>
    <row r="224" spans="2:6" ht="14.1" customHeight="1" thickBot="1" x14ac:dyDescent="0.3">
      <c r="B224" s="521" t="s">
        <v>899</v>
      </c>
      <c r="C224" s="522" t="s">
        <v>900</v>
      </c>
      <c r="D224" s="523"/>
      <c r="E224" s="523"/>
      <c r="F224" s="524"/>
    </row>
    <row r="225" spans="2:6" ht="14.1" customHeight="1" thickBot="1" x14ac:dyDescent="0.3">
      <c r="B225" s="443" t="s">
        <v>17</v>
      </c>
      <c r="C225" s="1431" t="s">
        <v>901</v>
      </c>
      <c r="D225" s="1432"/>
      <c r="E225" s="1432"/>
      <c r="F225" s="1433"/>
    </row>
    <row r="226" spans="2:6" ht="14.1" customHeight="1" thickBot="1" x14ac:dyDescent="0.3">
      <c r="B226" s="411" t="s">
        <v>18</v>
      </c>
      <c r="C226" s="1042" t="s">
        <v>518</v>
      </c>
      <c r="D226" s="1043"/>
      <c r="E226" s="1043"/>
      <c r="F226" s="1449"/>
    </row>
    <row r="227" spans="2:6" ht="12" customHeight="1" thickBot="1" x14ac:dyDescent="0.3">
      <c r="B227" s="411" t="s">
        <v>19</v>
      </c>
      <c r="C227" s="161">
        <v>270</v>
      </c>
      <c r="D227" s="161">
        <v>285</v>
      </c>
      <c r="E227" s="161">
        <v>300</v>
      </c>
      <c r="F227" s="422">
        <v>310</v>
      </c>
    </row>
    <row r="228" spans="2:6" ht="14.1" customHeight="1" x14ac:dyDescent="0.25">
      <c r="B228" s="1414"/>
      <c r="C228" s="63">
        <v>2018</v>
      </c>
      <c r="D228" s="63">
        <v>2019</v>
      </c>
      <c r="E228" s="63">
        <v>2020</v>
      </c>
      <c r="F228" s="429">
        <v>2021</v>
      </c>
    </row>
    <row r="229" spans="2:6" ht="17.25" customHeight="1" thickBot="1" x14ac:dyDescent="0.3">
      <c r="B229" s="1415"/>
      <c r="C229" s="64" t="s">
        <v>10</v>
      </c>
      <c r="D229" s="64" t="s">
        <v>11</v>
      </c>
      <c r="E229" s="64" t="s">
        <v>11</v>
      </c>
      <c r="F229" s="424" t="s">
        <v>11</v>
      </c>
    </row>
    <row r="230" spans="2:6" ht="14.1" customHeight="1" thickBot="1" x14ac:dyDescent="0.3">
      <c r="B230" s="411" t="s">
        <v>20</v>
      </c>
      <c r="C230" s="447">
        <v>14360</v>
      </c>
      <c r="D230" s="448">
        <v>15160</v>
      </c>
      <c r="E230" s="448">
        <v>15860</v>
      </c>
      <c r="F230" s="449">
        <v>15659</v>
      </c>
    </row>
    <row r="231" spans="2:6" ht="14.1" customHeight="1" thickBot="1" x14ac:dyDescent="0.3">
      <c r="B231" s="411" t="s">
        <v>21</v>
      </c>
      <c r="C231" s="469">
        <f>C230/C227</f>
        <v>53.185185185185183</v>
      </c>
      <c r="D231" s="469">
        <f>D230/D227</f>
        <v>53.192982456140349</v>
      </c>
      <c r="E231" s="469">
        <f>E230/E227</f>
        <v>52.866666666666667</v>
      </c>
      <c r="F231" s="469">
        <f>F230/F227</f>
        <v>50.512903225806454</v>
      </c>
    </row>
    <row r="232" spans="2:6" ht="24" customHeight="1" thickBot="1" x14ac:dyDescent="0.3">
      <c r="B232" s="411" t="s">
        <v>22</v>
      </c>
      <c r="C232" s="392"/>
      <c r="D232" s="162">
        <f>D227/C227-1</f>
        <v>5.555555555555558E-2</v>
      </c>
      <c r="E232" s="162">
        <f>E227/D227-1</f>
        <v>5.2631578947368363E-2</v>
      </c>
      <c r="F232" s="432">
        <f>F227/E227-1</f>
        <v>3.3333333333333437E-2</v>
      </c>
    </row>
    <row r="233" spans="2:6" ht="14.1" customHeight="1" thickBot="1" x14ac:dyDescent="0.3">
      <c r="B233" s="411" t="s">
        <v>24</v>
      </c>
      <c r="C233" s="392"/>
      <c r="D233" s="162">
        <f>D230/C230-1</f>
        <v>5.5710306406685284E-2</v>
      </c>
      <c r="E233" s="162">
        <f t="shared" ref="E233:F234" si="17">E230/D230-1</f>
        <v>4.6174142480211122E-2</v>
      </c>
      <c r="F233" s="432">
        <f t="shared" si="17"/>
        <v>-1.2673392181588916E-2</v>
      </c>
    </row>
    <row r="234" spans="2:6" ht="14.1" customHeight="1" thickBot="1" x14ac:dyDescent="0.3">
      <c r="B234" s="411" t="s">
        <v>25</v>
      </c>
      <c r="C234" s="392"/>
      <c r="D234" s="162">
        <f>D231/C231-1</f>
        <v>1.4660606949123967E-4</v>
      </c>
      <c r="E234" s="162">
        <f t="shared" si="17"/>
        <v>-6.1345646437994672E-3</v>
      </c>
      <c r="F234" s="432">
        <f t="shared" si="17"/>
        <v>-4.4522637595086012E-2</v>
      </c>
    </row>
    <row r="235" spans="2:6" ht="14.1" customHeight="1" thickBot="1" x14ac:dyDescent="0.3">
      <c r="B235" s="1438" t="s">
        <v>118</v>
      </c>
      <c r="C235" s="1031"/>
      <c r="D235" s="1031"/>
      <c r="E235" s="1031"/>
      <c r="F235" s="1439"/>
    </row>
    <row r="236" spans="2:6" ht="35.25" customHeight="1" x14ac:dyDescent="0.25">
      <c r="B236" s="1414"/>
      <c r="C236" s="63">
        <v>2018</v>
      </c>
      <c r="D236" s="63">
        <v>2019</v>
      </c>
      <c r="E236" s="63">
        <v>2020</v>
      </c>
      <c r="F236" s="429">
        <v>2021</v>
      </c>
    </row>
    <row r="237" spans="2:6" ht="13.5" customHeight="1" thickBot="1" x14ac:dyDescent="0.3">
      <c r="B237" s="1415"/>
      <c r="C237" s="64" t="s">
        <v>10</v>
      </c>
      <c r="D237" s="64" t="s">
        <v>11</v>
      </c>
      <c r="E237" s="64" t="s">
        <v>11</v>
      </c>
      <c r="F237" s="424" t="s">
        <v>11</v>
      </c>
    </row>
    <row r="238" spans="2:6" ht="26.25" customHeight="1" thickBot="1" x14ac:dyDescent="0.3">
      <c r="B238" s="433" t="s">
        <v>26</v>
      </c>
      <c r="C238" s="164"/>
      <c r="D238" s="164"/>
      <c r="E238" s="164"/>
      <c r="F238" s="434"/>
    </row>
    <row r="239" spans="2:6" ht="14.1" customHeight="1" thickBot="1" x14ac:dyDescent="0.3">
      <c r="B239" s="433" t="s">
        <v>28</v>
      </c>
      <c r="C239" s="164"/>
      <c r="D239" s="164"/>
      <c r="E239" s="164"/>
      <c r="F239" s="434"/>
    </row>
    <row r="240" spans="2:6" ht="13.5" customHeight="1" thickBot="1" x14ac:dyDescent="0.3">
      <c r="B240" s="433" t="s">
        <v>30</v>
      </c>
      <c r="C240" s="525">
        <v>14360</v>
      </c>
      <c r="D240" s="164">
        <v>15160</v>
      </c>
      <c r="E240" s="164">
        <v>15860</v>
      </c>
      <c r="F240" s="434">
        <v>15659</v>
      </c>
    </row>
    <row r="241" spans="2:6" ht="14.1" customHeight="1" thickBot="1" x14ac:dyDescent="0.3">
      <c r="B241" s="433" t="s">
        <v>32</v>
      </c>
      <c r="C241" s="165"/>
      <c r="D241" s="164"/>
      <c r="E241" s="164"/>
      <c r="F241" s="434"/>
    </row>
    <row r="242" spans="2:6" ht="14.1" customHeight="1" thickBot="1" x14ac:dyDescent="0.3">
      <c r="B242" s="433" t="s">
        <v>34</v>
      </c>
      <c r="C242" s="165"/>
      <c r="D242" s="164"/>
      <c r="E242" s="164"/>
      <c r="F242" s="434"/>
    </row>
    <row r="243" spans="2:6" ht="14.1" customHeight="1" thickBot="1" x14ac:dyDescent="0.3">
      <c r="B243" s="433" t="s">
        <v>36</v>
      </c>
      <c r="C243" s="165"/>
      <c r="D243" s="164"/>
      <c r="E243" s="164"/>
      <c r="F243" s="434"/>
    </row>
    <row r="244" spans="2:6" ht="14.1" customHeight="1" thickBot="1" x14ac:dyDescent="0.3">
      <c r="B244" s="459" t="s">
        <v>38</v>
      </c>
      <c r="C244" s="165"/>
      <c r="D244" s="164"/>
      <c r="E244" s="164"/>
      <c r="F244" s="434"/>
    </row>
    <row r="245" spans="2:6" ht="14.1" customHeight="1" thickBot="1" x14ac:dyDescent="0.3">
      <c r="B245" s="526" t="s">
        <v>40</v>
      </c>
      <c r="C245" s="527">
        <f>C244+C243+C242+C241+C240+C239+C238</f>
        <v>14360</v>
      </c>
      <c r="D245" s="527">
        <f>D244+D243+D242+D241+D240+D239+D238</f>
        <v>15160</v>
      </c>
      <c r="E245" s="527">
        <f>E244+E243+E242+E241+E240+E239+E238</f>
        <v>15860</v>
      </c>
      <c r="F245" s="528">
        <f>F244+F243+F242+F241+F240+F239+F238</f>
        <v>15659</v>
      </c>
    </row>
    <row r="246" spans="2:6" ht="18.75" customHeight="1" thickBot="1" x14ac:dyDescent="0.3">
      <c r="B246" s="529" t="s">
        <v>41</v>
      </c>
      <c r="C246" s="530">
        <f>IF(C245-C230=0,0,"Error")</f>
        <v>0</v>
      </c>
      <c r="D246" s="530">
        <f>IF(D245-D230=0,0,"Error")</f>
        <v>0</v>
      </c>
      <c r="E246" s="530">
        <f>IF(E245-E230=0,0,"Error")</f>
        <v>0</v>
      </c>
      <c r="F246" s="531">
        <f>IF(F245-F230=0,0,"Error")</f>
        <v>0</v>
      </c>
    </row>
    <row r="247" spans="2:6" ht="14.1" customHeight="1" thickBot="1" x14ac:dyDescent="0.3">
      <c r="B247" s="489"/>
      <c r="C247" s="1440"/>
      <c r="D247" s="1441"/>
      <c r="E247" s="1441"/>
      <c r="F247" s="1442"/>
    </row>
    <row r="248" spans="2:6" ht="38.25" customHeight="1" thickBot="1" x14ac:dyDescent="0.3">
      <c r="B248" s="416" t="s">
        <v>902</v>
      </c>
      <c r="C248" s="1443" t="s">
        <v>903</v>
      </c>
      <c r="D248" s="1444"/>
      <c r="E248" s="1444"/>
      <c r="F248" s="1445"/>
    </row>
    <row r="249" spans="2:6" ht="14.1" customHeight="1" thickBot="1" x14ac:dyDescent="0.3">
      <c r="B249" s="1419" t="s">
        <v>103</v>
      </c>
      <c r="C249" s="1420"/>
      <c r="D249" s="1420"/>
      <c r="E249" s="1420"/>
      <c r="F249" s="1421"/>
    </row>
    <row r="250" spans="2:6" ht="14.1" customHeight="1" thickBot="1" x14ac:dyDescent="0.3">
      <c r="B250" s="516" t="s">
        <v>903</v>
      </c>
      <c r="C250" s="517"/>
      <c r="D250" s="518"/>
      <c r="E250" s="518"/>
      <c r="F250" s="519">
        <v>2021</v>
      </c>
    </row>
    <row r="251" spans="2:6" ht="14.1" customHeight="1" thickBot="1" x14ac:dyDescent="0.3">
      <c r="B251" s="520"/>
      <c r="C251" s="231" t="s">
        <v>10</v>
      </c>
      <c r="D251" s="231" t="s">
        <v>11</v>
      </c>
      <c r="E251" s="231" t="s">
        <v>11</v>
      </c>
      <c r="F251" s="493" t="s">
        <v>11</v>
      </c>
    </row>
    <row r="252" spans="2:6" ht="14.1" customHeight="1" thickBot="1" x14ac:dyDescent="0.3">
      <c r="B252" s="532" t="s">
        <v>862</v>
      </c>
      <c r="C252" s="533">
        <v>2400</v>
      </c>
      <c r="D252" s="533">
        <v>2400</v>
      </c>
      <c r="E252" s="533">
        <v>2400</v>
      </c>
      <c r="F252" s="533">
        <v>2400</v>
      </c>
    </row>
    <row r="253" spans="2:6" ht="14.1" customHeight="1" thickBot="1" x14ac:dyDescent="0.3">
      <c r="B253" s="1446" t="s">
        <v>904</v>
      </c>
      <c r="C253" s="1447"/>
      <c r="D253" s="1447"/>
      <c r="E253" s="1447"/>
      <c r="F253" s="1448"/>
    </row>
    <row r="254" spans="2:6" ht="14.1" customHeight="1" thickBot="1" x14ac:dyDescent="0.3">
      <c r="B254" s="472" t="s">
        <v>872</v>
      </c>
      <c r="C254" s="522" t="s">
        <v>905</v>
      </c>
      <c r="D254" s="523"/>
      <c r="E254" s="523"/>
      <c r="F254" s="524"/>
    </row>
    <row r="255" spans="2:6" ht="24.75" customHeight="1" thickBot="1" x14ac:dyDescent="0.3">
      <c r="B255" s="443" t="s">
        <v>17</v>
      </c>
      <c r="C255" s="1431" t="s">
        <v>906</v>
      </c>
      <c r="D255" s="1432" t="s">
        <v>905</v>
      </c>
      <c r="E255" s="1432" t="s">
        <v>905</v>
      </c>
      <c r="F255" s="1433" t="s">
        <v>905</v>
      </c>
    </row>
    <row r="256" spans="2:6" ht="14.1" customHeight="1" thickBot="1" x14ac:dyDescent="0.3">
      <c r="B256" s="489" t="s">
        <v>18</v>
      </c>
      <c r="C256" s="1217" t="s">
        <v>518</v>
      </c>
      <c r="D256" s="1218"/>
      <c r="E256" s="1218"/>
      <c r="F256" s="1434"/>
    </row>
    <row r="257" spans="2:6" ht="14.1" customHeight="1" thickBot="1" x14ac:dyDescent="0.3">
      <c r="B257" s="411" t="s">
        <v>19</v>
      </c>
      <c r="C257" s="161">
        <v>100</v>
      </c>
      <c r="D257" s="161">
        <v>150</v>
      </c>
      <c r="E257" s="161">
        <v>200</v>
      </c>
      <c r="F257" s="422">
        <v>300</v>
      </c>
    </row>
    <row r="258" spans="2:6" ht="14.1" customHeight="1" x14ac:dyDescent="0.25">
      <c r="B258" s="1414"/>
      <c r="C258" s="63">
        <v>2018</v>
      </c>
      <c r="D258" s="63">
        <v>2019</v>
      </c>
      <c r="E258" s="63">
        <v>2020</v>
      </c>
      <c r="F258" s="429">
        <v>2021</v>
      </c>
    </row>
    <row r="259" spans="2:6" ht="15" customHeight="1" thickBot="1" x14ac:dyDescent="0.3">
      <c r="B259" s="1415"/>
      <c r="C259" s="64" t="s">
        <v>10</v>
      </c>
      <c r="D259" s="64" t="s">
        <v>11</v>
      </c>
      <c r="E259" s="64" t="s">
        <v>11</v>
      </c>
      <c r="F259" s="424" t="s">
        <v>11</v>
      </c>
    </row>
    <row r="260" spans="2:6" ht="14.1" customHeight="1" thickBot="1" x14ac:dyDescent="0.3">
      <c r="B260" s="411" t="s">
        <v>20</v>
      </c>
      <c r="C260" s="447">
        <v>2400</v>
      </c>
      <c r="D260" s="448">
        <v>2400</v>
      </c>
      <c r="E260" s="448">
        <v>2400</v>
      </c>
      <c r="F260" s="449">
        <v>2400</v>
      </c>
    </row>
    <row r="261" spans="2:6" ht="14.1" customHeight="1" thickBot="1" x14ac:dyDescent="0.3">
      <c r="B261" s="411" t="s">
        <v>21</v>
      </c>
      <c r="C261" s="430">
        <f>C260/C257</f>
        <v>24</v>
      </c>
      <c r="D261" s="430">
        <f>D260/D257</f>
        <v>16</v>
      </c>
      <c r="E261" s="430">
        <f>E260/E257</f>
        <v>12</v>
      </c>
      <c r="F261" s="430">
        <f>F260/F257</f>
        <v>8</v>
      </c>
    </row>
    <row r="262" spans="2:6" ht="14.1" customHeight="1" thickBot="1" x14ac:dyDescent="0.3">
      <c r="B262" s="411" t="s">
        <v>22</v>
      </c>
      <c r="C262" s="392"/>
      <c r="D262" s="162">
        <f>D257/C257-1</f>
        <v>0.5</v>
      </c>
      <c r="E262" s="162">
        <f>E257/D257-1</f>
        <v>0.33333333333333326</v>
      </c>
      <c r="F262" s="432">
        <f>F257/E257-1</f>
        <v>0.5</v>
      </c>
    </row>
    <row r="263" spans="2:6" ht="14.1" customHeight="1" thickBot="1" x14ac:dyDescent="0.3">
      <c r="B263" s="411" t="s">
        <v>24</v>
      </c>
      <c r="C263" s="392"/>
      <c r="D263" s="162">
        <f>D260/C260-1</f>
        <v>0</v>
      </c>
      <c r="E263" s="162">
        <f t="shared" ref="E263:F264" si="18">E260/D260-1</f>
        <v>0</v>
      </c>
      <c r="F263" s="432">
        <f t="shared" si="18"/>
        <v>0</v>
      </c>
    </row>
    <row r="264" spans="2:6" ht="14.1" customHeight="1" thickBot="1" x14ac:dyDescent="0.3">
      <c r="B264" s="411" t="s">
        <v>25</v>
      </c>
      <c r="C264" s="392"/>
      <c r="D264" s="162">
        <f>D261/C261-1</f>
        <v>-0.33333333333333337</v>
      </c>
      <c r="E264" s="162">
        <f t="shared" si="18"/>
        <v>-0.25</v>
      </c>
      <c r="F264" s="432">
        <f t="shared" si="18"/>
        <v>-0.33333333333333337</v>
      </c>
    </row>
    <row r="265" spans="2:6" ht="14.1" customHeight="1" thickBot="1" x14ac:dyDescent="0.3">
      <c r="B265" s="1411" t="s">
        <v>118</v>
      </c>
      <c r="C265" s="1412"/>
      <c r="D265" s="1412"/>
      <c r="E265" s="1412"/>
      <c r="F265" s="1413"/>
    </row>
    <row r="266" spans="2:6" ht="38.25" customHeight="1" x14ac:dyDescent="0.25">
      <c r="B266" s="1414"/>
      <c r="C266" s="63">
        <v>2018</v>
      </c>
      <c r="D266" s="63">
        <v>2019</v>
      </c>
      <c r="E266" s="63">
        <v>2020</v>
      </c>
      <c r="F266" s="429">
        <v>2021</v>
      </c>
    </row>
    <row r="267" spans="2:6" ht="14.1" customHeight="1" thickBot="1" x14ac:dyDescent="0.3">
      <c r="B267" s="1415"/>
      <c r="C267" s="64" t="s">
        <v>10</v>
      </c>
      <c r="D267" s="64" t="s">
        <v>11</v>
      </c>
      <c r="E267" s="64" t="s">
        <v>11</v>
      </c>
      <c r="F267" s="424" t="s">
        <v>11</v>
      </c>
    </row>
    <row r="268" spans="2:6" ht="22.5" customHeight="1" thickBot="1" x14ac:dyDescent="0.3">
      <c r="B268" s="433" t="s">
        <v>26</v>
      </c>
      <c r="C268" s="164">
        <v>2000</v>
      </c>
      <c r="D268" s="164">
        <v>2000</v>
      </c>
      <c r="E268" s="164">
        <v>2000</v>
      </c>
      <c r="F268" s="164">
        <v>2000</v>
      </c>
    </row>
    <row r="269" spans="2:6" ht="14.1" customHeight="1" thickBot="1" x14ac:dyDescent="0.3">
      <c r="B269" s="433" t="s">
        <v>28</v>
      </c>
      <c r="C269" s="164">
        <v>400</v>
      </c>
      <c r="D269" s="164">
        <v>400</v>
      </c>
      <c r="E269" s="164">
        <v>400</v>
      </c>
      <c r="F269" s="164">
        <v>400</v>
      </c>
    </row>
    <row r="270" spans="2:6" ht="14.1" customHeight="1" thickBot="1" x14ac:dyDescent="0.3">
      <c r="B270" s="433" t="s">
        <v>30</v>
      </c>
      <c r="C270" s="525"/>
      <c r="D270" s="164"/>
      <c r="E270" s="164"/>
      <c r="F270" s="434"/>
    </row>
    <row r="271" spans="2:6" ht="14.1" customHeight="1" thickBot="1" x14ac:dyDescent="0.3">
      <c r="B271" s="433" t="s">
        <v>32</v>
      </c>
      <c r="C271" s="165"/>
      <c r="D271" s="164"/>
      <c r="E271" s="164"/>
      <c r="F271" s="434"/>
    </row>
    <row r="272" spans="2:6" ht="14.1" customHeight="1" thickBot="1" x14ac:dyDescent="0.3">
      <c r="B272" s="433" t="s">
        <v>34</v>
      </c>
      <c r="C272" s="165"/>
      <c r="D272" s="164"/>
      <c r="E272" s="164"/>
      <c r="F272" s="434"/>
    </row>
    <row r="273" spans="2:6" ht="27" customHeight="1" thickBot="1" x14ac:dyDescent="0.3">
      <c r="B273" s="433" t="s">
        <v>36</v>
      </c>
      <c r="C273" s="165"/>
      <c r="D273" s="164"/>
      <c r="E273" s="164"/>
      <c r="F273" s="434"/>
    </row>
    <row r="274" spans="2:6" ht="14.1" customHeight="1" thickBot="1" x14ac:dyDescent="0.3">
      <c r="B274" s="459" t="s">
        <v>38</v>
      </c>
      <c r="C274" s="165"/>
      <c r="D274" s="164"/>
      <c r="E274" s="164"/>
      <c r="F274" s="434"/>
    </row>
    <row r="275" spans="2:6" ht="14.1" customHeight="1" thickBot="1" x14ac:dyDescent="0.3">
      <c r="B275" s="534" t="s">
        <v>40</v>
      </c>
      <c r="C275" s="219">
        <f>C274+C273+C272+C271+C270+C269+C268</f>
        <v>2400</v>
      </c>
      <c r="D275" s="219">
        <f>D274+D273+D272+D271+D270+D269+D268</f>
        <v>2400</v>
      </c>
      <c r="E275" s="219">
        <f>E274+E273+E272+E271+E270+E269+E268</f>
        <v>2400</v>
      </c>
      <c r="F275" s="535">
        <f>F274+F273+F272+F271+F270+F269+F268</f>
        <v>2400</v>
      </c>
    </row>
    <row r="276" spans="2:6" ht="14.1" customHeight="1" thickBot="1" x14ac:dyDescent="0.3">
      <c r="B276" s="536" t="s">
        <v>41</v>
      </c>
      <c r="C276" s="537">
        <f>IF(C275-C260=0,0,"Error")</f>
        <v>0</v>
      </c>
      <c r="D276" s="537">
        <f>IF(D275-D260=0,0,"Error")</f>
        <v>0</v>
      </c>
      <c r="E276" s="537">
        <f>IF(E275-E260=0,0,"Error")</f>
        <v>0</v>
      </c>
      <c r="F276" s="538">
        <f>IF(F275-F260=0,0,"Error")</f>
        <v>0</v>
      </c>
    </row>
    <row r="277" spans="2:6" ht="24.75" customHeight="1" thickBot="1" x14ac:dyDescent="0.3">
      <c r="B277" s="539"/>
      <c r="C277" s="1435"/>
      <c r="D277" s="1436"/>
      <c r="E277" s="1436"/>
      <c r="F277" s="1437"/>
    </row>
    <row r="278" spans="2:6" ht="36.75" customHeight="1" thickBot="1" x14ac:dyDescent="0.3">
      <c r="B278" s="454" t="s">
        <v>907</v>
      </c>
      <c r="C278" s="1416" t="s">
        <v>908</v>
      </c>
      <c r="D278" s="1417"/>
      <c r="E278" s="1417"/>
      <c r="F278" s="1418"/>
    </row>
    <row r="279" spans="2:6" ht="14.1" customHeight="1" thickBot="1" x14ac:dyDescent="0.3">
      <c r="B279" s="1419" t="s">
        <v>909</v>
      </c>
      <c r="C279" s="1420"/>
      <c r="D279" s="1420"/>
      <c r="E279" s="1420"/>
      <c r="F279" s="1421"/>
    </row>
    <row r="280" spans="2:6" ht="14.1" customHeight="1" thickBot="1" x14ac:dyDescent="0.3">
      <c r="B280" s="473" t="s">
        <v>910</v>
      </c>
      <c r="C280" s="517">
        <v>2018</v>
      </c>
      <c r="D280" s="518">
        <v>2019</v>
      </c>
      <c r="E280" s="518">
        <v>2020</v>
      </c>
      <c r="F280" s="519">
        <v>2021</v>
      </c>
    </row>
    <row r="281" spans="2:6" ht="14.1" customHeight="1" thickBot="1" x14ac:dyDescent="0.3">
      <c r="B281" s="520"/>
      <c r="C281" s="231" t="s">
        <v>10</v>
      </c>
      <c r="D281" s="231" t="s">
        <v>11</v>
      </c>
      <c r="E281" s="231" t="s">
        <v>11</v>
      </c>
      <c r="F281" s="493" t="s">
        <v>11</v>
      </c>
    </row>
    <row r="282" spans="2:6" ht="29.25" customHeight="1" thickBot="1" x14ac:dyDescent="0.3">
      <c r="B282" s="443" t="s">
        <v>862</v>
      </c>
      <c r="C282" s="444">
        <v>2400</v>
      </c>
      <c r="D282" s="444">
        <v>2400</v>
      </c>
      <c r="E282" s="444">
        <v>2400</v>
      </c>
      <c r="F282" s="444">
        <v>2400</v>
      </c>
    </row>
    <row r="283" spans="2:6" ht="14.1" customHeight="1" thickBot="1" x14ac:dyDescent="0.3">
      <c r="B283" s="1422" t="s">
        <v>911</v>
      </c>
      <c r="C283" s="1423"/>
      <c r="D283" s="1423"/>
      <c r="E283" s="1423"/>
      <c r="F283" s="1424"/>
    </row>
    <row r="284" spans="2:6" ht="14.1" customHeight="1" thickBot="1" x14ac:dyDescent="0.3">
      <c r="B284" s="521" t="s">
        <v>912</v>
      </c>
      <c r="C284" s="473" t="s">
        <v>910</v>
      </c>
      <c r="D284" s="474"/>
      <c r="E284" s="474"/>
      <c r="F284" s="475"/>
    </row>
    <row r="285" spans="2:6" ht="34.5" customHeight="1" thickBot="1" x14ac:dyDescent="0.3">
      <c r="B285" s="443" t="s">
        <v>17</v>
      </c>
      <c r="C285" s="1425" t="s">
        <v>913</v>
      </c>
      <c r="D285" s="1426"/>
      <c r="E285" s="1426"/>
      <c r="F285" s="1427"/>
    </row>
    <row r="286" spans="2:6" ht="14.1" customHeight="1" thickBot="1" x14ac:dyDescent="0.3">
      <c r="B286" s="411" t="s">
        <v>18</v>
      </c>
      <c r="C286" s="1428" t="s">
        <v>518</v>
      </c>
      <c r="D286" s="1429"/>
      <c r="E286" s="1429"/>
      <c r="F286" s="1430"/>
    </row>
    <row r="287" spans="2:6" ht="14.1" customHeight="1" thickBot="1" x14ac:dyDescent="0.3">
      <c r="B287" s="411" t="s">
        <v>19</v>
      </c>
      <c r="C287" s="161">
        <v>30</v>
      </c>
      <c r="D287" s="161">
        <v>40</v>
      </c>
      <c r="E287" s="161">
        <v>45</v>
      </c>
      <c r="F287" s="422">
        <v>50</v>
      </c>
    </row>
    <row r="288" spans="2:6" ht="14.1" customHeight="1" x14ac:dyDescent="0.25">
      <c r="B288" s="1414"/>
      <c r="C288" s="63">
        <v>2018</v>
      </c>
      <c r="D288" s="540">
        <v>2019</v>
      </c>
      <c r="E288" s="540">
        <v>2020</v>
      </c>
      <c r="F288" s="541">
        <v>2021</v>
      </c>
    </row>
    <row r="289" spans="2:6" ht="14.1" customHeight="1" thickBot="1" x14ac:dyDescent="0.3">
      <c r="B289" s="1415"/>
      <c r="C289" s="64" t="s">
        <v>10</v>
      </c>
      <c r="D289" s="64" t="s">
        <v>11</v>
      </c>
      <c r="E289" s="64" t="s">
        <v>11</v>
      </c>
      <c r="F289" s="424" t="s">
        <v>11</v>
      </c>
    </row>
    <row r="290" spans="2:6" ht="14.1" customHeight="1" thickBot="1" x14ac:dyDescent="0.3">
      <c r="B290" s="411" t="s">
        <v>20</v>
      </c>
      <c r="C290" s="447">
        <v>2400</v>
      </c>
      <c r="D290" s="448">
        <v>2400</v>
      </c>
      <c r="E290" s="448">
        <v>2400</v>
      </c>
      <c r="F290" s="449">
        <v>2400</v>
      </c>
    </row>
    <row r="291" spans="2:6" ht="14.1" customHeight="1" thickBot="1" x14ac:dyDescent="0.3">
      <c r="B291" s="411" t="s">
        <v>21</v>
      </c>
      <c r="C291" s="430">
        <f>C290/C287</f>
        <v>80</v>
      </c>
      <c r="D291" s="430">
        <f>D290/D287</f>
        <v>60</v>
      </c>
      <c r="E291" s="430">
        <f>E290/E287</f>
        <v>53.333333333333336</v>
      </c>
      <c r="F291" s="430">
        <f>F290/F287</f>
        <v>48</v>
      </c>
    </row>
    <row r="292" spans="2:6" ht="14.1" customHeight="1" thickBot="1" x14ac:dyDescent="0.3">
      <c r="B292" s="411" t="s">
        <v>22</v>
      </c>
      <c r="C292" s="392"/>
      <c r="D292" s="162">
        <f>D287/C287-1</f>
        <v>0.33333333333333326</v>
      </c>
      <c r="E292" s="162">
        <f>E287/D287-1</f>
        <v>0.125</v>
      </c>
      <c r="F292" s="432">
        <f>F287/E287-1</f>
        <v>0.11111111111111116</v>
      </c>
    </row>
    <row r="293" spans="2:6" ht="16.5" customHeight="1" thickBot="1" x14ac:dyDescent="0.3">
      <c r="B293" s="411" t="s">
        <v>24</v>
      </c>
      <c r="C293" s="392"/>
      <c r="D293" s="162">
        <f>D290/C290-1</f>
        <v>0</v>
      </c>
      <c r="E293" s="162">
        <f t="shared" ref="E293:F294" si="19">E290/D290-1</f>
        <v>0</v>
      </c>
      <c r="F293" s="432">
        <f t="shared" si="19"/>
        <v>0</v>
      </c>
    </row>
    <row r="294" spans="2:6" ht="14.1" customHeight="1" thickBot="1" x14ac:dyDescent="0.3">
      <c r="B294" s="411" t="s">
        <v>25</v>
      </c>
      <c r="C294" s="392"/>
      <c r="D294" s="162">
        <f>D291/C291-1</f>
        <v>-0.25</v>
      </c>
      <c r="E294" s="162">
        <f t="shared" si="19"/>
        <v>-0.11111111111111105</v>
      </c>
      <c r="F294" s="432">
        <f t="shared" si="19"/>
        <v>-0.10000000000000009</v>
      </c>
    </row>
    <row r="295" spans="2:6" ht="14.1" customHeight="1" thickBot="1" x14ac:dyDescent="0.3">
      <c r="B295" s="1411" t="s">
        <v>914</v>
      </c>
      <c r="C295" s="1412"/>
      <c r="D295" s="1412"/>
      <c r="E295" s="1412"/>
      <c r="F295" s="1413"/>
    </row>
    <row r="296" spans="2:6" ht="42" customHeight="1" x14ac:dyDescent="0.25">
      <c r="B296" s="1414"/>
      <c r="C296" s="63">
        <v>2018</v>
      </c>
      <c r="D296" s="63">
        <v>2019</v>
      </c>
      <c r="E296" s="63">
        <v>2020</v>
      </c>
      <c r="F296" s="429">
        <v>2021</v>
      </c>
    </row>
    <row r="297" spans="2:6" ht="14.1" customHeight="1" thickBot="1" x14ac:dyDescent="0.3">
      <c r="B297" s="1415"/>
      <c r="C297" s="64" t="s">
        <v>10</v>
      </c>
      <c r="D297" s="64" t="s">
        <v>11</v>
      </c>
      <c r="E297" s="64" t="s">
        <v>11</v>
      </c>
      <c r="F297" s="424" t="s">
        <v>11</v>
      </c>
    </row>
    <row r="298" spans="2:6" ht="33" customHeight="1" thickBot="1" x14ac:dyDescent="0.3">
      <c r="B298" s="433" t="s">
        <v>26</v>
      </c>
      <c r="C298" s="164">
        <v>2000</v>
      </c>
      <c r="D298" s="164">
        <v>2000</v>
      </c>
      <c r="E298" s="164">
        <v>2000</v>
      </c>
      <c r="F298" s="164">
        <v>2000</v>
      </c>
    </row>
    <row r="299" spans="2:6" ht="14.1" customHeight="1" thickBot="1" x14ac:dyDescent="0.3">
      <c r="B299" s="433" t="s">
        <v>28</v>
      </c>
      <c r="C299" s="164">
        <v>400</v>
      </c>
      <c r="D299" s="164">
        <v>400</v>
      </c>
      <c r="E299" s="164">
        <v>400</v>
      </c>
      <c r="F299" s="164">
        <v>400</v>
      </c>
    </row>
    <row r="300" spans="2:6" ht="14.1" customHeight="1" thickBot="1" x14ac:dyDescent="0.3">
      <c r="B300" s="433" t="s">
        <v>30</v>
      </c>
      <c r="C300" s="525"/>
      <c r="D300" s="164"/>
      <c r="E300" s="164"/>
      <c r="F300" s="434"/>
    </row>
    <row r="301" spans="2:6" ht="14.1" customHeight="1" thickBot="1" x14ac:dyDescent="0.3">
      <c r="B301" s="433" t="s">
        <v>32</v>
      </c>
      <c r="C301" s="165"/>
      <c r="D301" s="164"/>
      <c r="E301" s="164"/>
      <c r="F301" s="434"/>
    </row>
    <row r="302" spans="2:6" ht="14.1" customHeight="1" thickBot="1" x14ac:dyDescent="0.3">
      <c r="B302" s="433" t="s">
        <v>34</v>
      </c>
      <c r="C302" s="165"/>
      <c r="D302" s="164"/>
      <c r="E302" s="164"/>
      <c r="F302" s="434"/>
    </row>
    <row r="303" spans="2:6" ht="26.25" customHeight="1" thickBot="1" x14ac:dyDescent="0.3">
      <c r="B303" s="433" t="s">
        <v>36</v>
      </c>
      <c r="C303" s="165"/>
      <c r="D303" s="164"/>
      <c r="E303" s="164"/>
      <c r="F303" s="434"/>
    </row>
    <row r="304" spans="2:6" ht="23.25" customHeight="1" thickBot="1" x14ac:dyDescent="0.3">
      <c r="B304" s="459" t="s">
        <v>38</v>
      </c>
      <c r="C304" s="165"/>
      <c r="D304" s="164"/>
      <c r="E304" s="164"/>
      <c r="F304" s="434"/>
    </row>
    <row r="305" spans="2:6" ht="14.1" customHeight="1" thickBot="1" x14ac:dyDescent="0.3">
      <c r="B305" s="542" t="s">
        <v>915</v>
      </c>
      <c r="C305" s="543">
        <f>C304+C303+C302+C301+C300+C299+C298</f>
        <v>2400</v>
      </c>
      <c r="D305" s="543">
        <f>D304+D303+D302+D301+D300+D299+D298</f>
        <v>2400</v>
      </c>
      <c r="E305" s="543">
        <f>E304+E303+E302+E301+E300+E299+E298</f>
        <v>2400</v>
      </c>
      <c r="F305" s="535">
        <f>F304+F303+F302+F301+F300+F299+F298</f>
        <v>2400</v>
      </c>
    </row>
    <row r="306" spans="2:6" ht="14.1" customHeight="1" thickBot="1" x14ac:dyDescent="0.3">
      <c r="B306" s="544" t="s">
        <v>41</v>
      </c>
      <c r="C306" s="545">
        <f>IF(C305-C290=0,0,"Error")</f>
        <v>0</v>
      </c>
      <c r="D306" s="545">
        <f>IF(D305-D290=0,0,"Error")</f>
        <v>0</v>
      </c>
      <c r="E306" s="545">
        <f>IF(E305-E290=0,0,"Error")</f>
        <v>0</v>
      </c>
      <c r="F306" s="538">
        <f>IF(F305-F290=0,0,"Error")</f>
        <v>0</v>
      </c>
    </row>
    <row r="307" spans="2:6" ht="18" customHeight="1" thickBot="1" x14ac:dyDescent="0.3">
      <c r="B307" s="546"/>
      <c r="C307" s="547"/>
      <c r="D307" s="547"/>
      <c r="E307" s="547"/>
      <c r="F307" s="548"/>
    </row>
    <row r="308" spans="2:6" ht="14.1" customHeight="1" thickBot="1" x14ac:dyDescent="0.3">
      <c r="B308" s="549" t="s">
        <v>82</v>
      </c>
      <c r="C308" s="550">
        <v>138200</v>
      </c>
      <c r="D308" s="550">
        <v>134300</v>
      </c>
      <c r="E308" s="550">
        <v>134600</v>
      </c>
      <c r="F308" s="551">
        <v>134800</v>
      </c>
    </row>
    <row r="309" spans="2:6" ht="14.1" customHeight="1" thickBot="1" x14ac:dyDescent="0.3">
      <c r="B309" s="549" t="s">
        <v>83</v>
      </c>
      <c r="C309" s="176">
        <v>138200</v>
      </c>
      <c r="D309" s="176">
        <v>134300</v>
      </c>
      <c r="E309" s="176">
        <v>134600</v>
      </c>
      <c r="F309" s="552">
        <v>134800</v>
      </c>
    </row>
    <row r="310" spans="2:6" ht="14.1" customHeight="1" thickBot="1" x14ac:dyDescent="0.3">
      <c r="B310" s="553" t="s">
        <v>84</v>
      </c>
      <c r="C310" s="179"/>
      <c r="D310" s="554">
        <f>D309/C309-1</f>
        <v>-2.8219971056439919E-2</v>
      </c>
      <c r="E310" s="554">
        <f t="shared" ref="E310:F314" si="20">E309/D309-1</f>
        <v>2.2338049143708627E-3</v>
      </c>
      <c r="F310" s="555">
        <f t="shared" si="20"/>
        <v>1.4858841010401136E-3</v>
      </c>
    </row>
    <row r="311" spans="2:6" ht="14.1" customHeight="1" thickBot="1" x14ac:dyDescent="0.3">
      <c r="B311" s="477" t="s">
        <v>26</v>
      </c>
      <c r="C311" s="179">
        <v>102500</v>
      </c>
      <c r="D311" s="179">
        <v>99800</v>
      </c>
      <c r="E311" s="179">
        <v>99800</v>
      </c>
      <c r="F311" s="556">
        <v>99800</v>
      </c>
    </row>
    <row r="312" spans="2:6" ht="14.1" customHeight="1" thickBot="1" x14ac:dyDescent="0.3">
      <c r="B312" s="557" t="s">
        <v>85</v>
      </c>
      <c r="C312" s="243"/>
      <c r="D312" s="554">
        <f>D311/C311-1</f>
        <v>-2.634146341463417E-2</v>
      </c>
      <c r="E312" s="554">
        <f t="shared" si="20"/>
        <v>0</v>
      </c>
      <c r="F312" s="555">
        <f t="shared" si="20"/>
        <v>0</v>
      </c>
    </row>
    <row r="313" spans="2:6" ht="12.75" customHeight="1" thickBot="1" x14ac:dyDescent="0.3">
      <c r="B313" s="477" t="s">
        <v>28</v>
      </c>
      <c r="C313" s="179">
        <v>15700</v>
      </c>
      <c r="D313" s="179">
        <v>13500</v>
      </c>
      <c r="E313" s="179">
        <v>13500</v>
      </c>
      <c r="F313" s="556">
        <v>13500</v>
      </c>
    </row>
    <row r="314" spans="2:6" ht="14.1" customHeight="1" thickBot="1" x14ac:dyDescent="0.3">
      <c r="B314" s="557" t="s">
        <v>86</v>
      </c>
      <c r="C314" s="243"/>
      <c r="D314" s="554">
        <f>D313/C313-1</f>
        <v>-0.14012738853503182</v>
      </c>
      <c r="E314" s="554">
        <f t="shared" si="20"/>
        <v>0</v>
      </c>
      <c r="F314" s="555">
        <f t="shared" si="20"/>
        <v>0</v>
      </c>
    </row>
    <row r="315" spans="2:6" ht="14.1" customHeight="1" thickBot="1" x14ac:dyDescent="0.3">
      <c r="B315" s="477" t="s">
        <v>30</v>
      </c>
      <c r="C315" s="179">
        <v>16760</v>
      </c>
      <c r="D315" s="179">
        <v>17760</v>
      </c>
      <c r="E315" s="179">
        <v>18060</v>
      </c>
      <c r="F315" s="556">
        <v>18260</v>
      </c>
    </row>
    <row r="316" spans="2:6" ht="14.1" customHeight="1" thickBot="1" x14ac:dyDescent="0.3">
      <c r="B316" s="558" t="s">
        <v>87</v>
      </c>
      <c r="C316" s="165"/>
      <c r="D316" s="182">
        <f>D315/C315-1</f>
        <v>5.9665871121718395E-2</v>
      </c>
      <c r="E316" s="182">
        <f t="shared" ref="E316:F316" si="21">E315/D315-1</f>
        <v>1.6891891891891886E-2</v>
      </c>
      <c r="F316" s="559">
        <f t="shared" si="21"/>
        <v>1.1074197120708673E-2</v>
      </c>
    </row>
    <row r="317" spans="2:6" ht="14.1" customHeight="1" thickBot="1" x14ac:dyDescent="0.3">
      <c r="B317" s="433" t="s">
        <v>32</v>
      </c>
      <c r="C317" s="164">
        <v>0</v>
      </c>
      <c r="D317" s="164">
        <v>0</v>
      </c>
      <c r="E317" s="164">
        <v>0</v>
      </c>
      <c r="F317" s="434">
        <v>0</v>
      </c>
    </row>
    <row r="318" spans="2:6" ht="14.1" customHeight="1" thickBot="1" x14ac:dyDescent="0.3">
      <c r="B318" s="558" t="s">
        <v>88</v>
      </c>
      <c r="C318" s="165"/>
      <c r="D318" s="182" t="e">
        <f>D317/C317-1</f>
        <v>#DIV/0!</v>
      </c>
      <c r="E318" s="182" t="e">
        <f t="shared" ref="E318:F318" si="22">E317/D317-1</f>
        <v>#DIV/0!</v>
      </c>
      <c r="F318" s="559" t="e">
        <f t="shared" si="22"/>
        <v>#DIV/0!</v>
      </c>
    </row>
    <row r="319" spans="2:6" ht="14.1" customHeight="1" thickBot="1" x14ac:dyDescent="0.3">
      <c r="B319" s="433" t="s">
        <v>34</v>
      </c>
      <c r="C319" s="164">
        <v>0</v>
      </c>
      <c r="D319" s="164">
        <v>0</v>
      </c>
      <c r="E319" s="164">
        <v>0</v>
      </c>
      <c r="F319" s="434">
        <v>0</v>
      </c>
    </row>
    <row r="320" spans="2:6" ht="14.1" customHeight="1" thickBot="1" x14ac:dyDescent="0.3">
      <c r="B320" s="558" t="s">
        <v>89</v>
      </c>
      <c r="C320" s="165"/>
      <c r="D320" s="182" t="e">
        <f>D319/C319-1</f>
        <v>#DIV/0!</v>
      </c>
      <c r="E320" s="182" t="e">
        <f t="shared" ref="E320:F320" si="23">E319/D319-1</f>
        <v>#DIV/0!</v>
      </c>
      <c r="F320" s="559" t="e">
        <f t="shared" si="23"/>
        <v>#DIV/0!</v>
      </c>
    </row>
    <row r="321" spans="2:6" ht="14.1" customHeight="1" thickBot="1" x14ac:dyDescent="0.3">
      <c r="B321" s="433" t="s">
        <v>36</v>
      </c>
      <c r="C321" s="164">
        <v>0</v>
      </c>
      <c r="D321" s="164">
        <v>0</v>
      </c>
      <c r="E321" s="164">
        <v>0</v>
      </c>
      <c r="F321" s="434">
        <v>0</v>
      </c>
    </row>
    <row r="322" spans="2:6" ht="14.1" customHeight="1" thickBot="1" x14ac:dyDescent="0.3">
      <c r="B322" s="558" t="s">
        <v>90</v>
      </c>
      <c r="C322" s="164">
        <v>0</v>
      </c>
      <c r="D322" s="164">
        <v>0</v>
      </c>
      <c r="E322" s="164">
        <v>0</v>
      </c>
      <c r="F322" s="434">
        <v>0</v>
      </c>
    </row>
    <row r="323" spans="2:6" ht="14.1" customHeight="1" thickBot="1" x14ac:dyDescent="0.3">
      <c r="B323" s="433" t="s">
        <v>38</v>
      </c>
      <c r="C323" s="164">
        <v>240</v>
      </c>
      <c r="D323" s="164">
        <v>240</v>
      </c>
      <c r="E323" s="164">
        <v>240</v>
      </c>
      <c r="F323" s="434">
        <v>240</v>
      </c>
    </row>
    <row r="324" spans="2:6" ht="14.1" customHeight="1" thickBot="1" x14ac:dyDescent="0.3">
      <c r="B324" s="558" t="s">
        <v>91</v>
      </c>
      <c r="C324" s="164">
        <v>0</v>
      </c>
      <c r="D324" s="164">
        <v>0</v>
      </c>
      <c r="E324" s="164">
        <v>0</v>
      </c>
      <c r="F324" s="434">
        <v>0</v>
      </c>
    </row>
    <row r="325" spans="2:6" ht="14.1" customHeight="1" thickBot="1" x14ac:dyDescent="0.3">
      <c r="B325" s="433" t="s">
        <v>92</v>
      </c>
      <c r="C325" s="164">
        <v>0</v>
      </c>
      <c r="D325" s="164">
        <v>0</v>
      </c>
      <c r="E325" s="164">
        <v>0</v>
      </c>
      <c r="F325" s="434">
        <v>0</v>
      </c>
    </row>
    <row r="326" spans="2:6" ht="28.5" customHeight="1" thickBot="1" x14ac:dyDescent="0.3">
      <c r="B326" s="558" t="s">
        <v>93</v>
      </c>
      <c r="C326" s="165"/>
      <c r="D326" s="182" t="e">
        <f>D325/C325-1</f>
        <v>#DIV/0!</v>
      </c>
      <c r="E326" s="182" t="e">
        <f t="shared" ref="E326:F326" si="24">E325/D325-1</f>
        <v>#DIV/0!</v>
      </c>
      <c r="F326" s="559" t="e">
        <f t="shared" si="24"/>
        <v>#DIV/0!</v>
      </c>
    </row>
    <row r="327" spans="2:6" ht="39.75" customHeight="1" thickBot="1" x14ac:dyDescent="0.3">
      <c r="B327" s="433" t="s">
        <v>94</v>
      </c>
      <c r="C327" s="219">
        <v>3000</v>
      </c>
      <c r="D327" s="219">
        <v>3000</v>
      </c>
      <c r="E327" s="219">
        <v>3000</v>
      </c>
      <c r="F327" s="219">
        <v>3000</v>
      </c>
    </row>
    <row r="328" spans="2:6" ht="21.75" customHeight="1" thickBot="1" x14ac:dyDescent="0.3">
      <c r="B328" s="558" t="s">
        <v>95</v>
      </c>
      <c r="C328" s="182">
        <v>0</v>
      </c>
      <c r="D328" s="182">
        <f>D327/C327-1</f>
        <v>0</v>
      </c>
      <c r="E328" s="182">
        <f t="shared" ref="E328:F328" si="25">E327/D327-1</f>
        <v>0</v>
      </c>
      <c r="F328" s="559">
        <f t="shared" si="25"/>
        <v>0</v>
      </c>
    </row>
    <row r="329" spans="2:6" ht="14.1" customHeight="1" thickBot="1" x14ac:dyDescent="0.3">
      <c r="B329" s="560" t="s">
        <v>41</v>
      </c>
      <c r="C329" s="167">
        <f>IF(C309-C308=0,0,"Error")</f>
        <v>0</v>
      </c>
      <c r="D329" s="167">
        <f t="shared" ref="D329:F329" si="26">IF(D309-D308=0,0,"Error")</f>
        <v>0</v>
      </c>
      <c r="E329" s="167">
        <f t="shared" si="26"/>
        <v>0</v>
      </c>
      <c r="F329" s="466">
        <f t="shared" si="26"/>
        <v>0</v>
      </c>
    </row>
    <row r="330" spans="2:6" ht="14.1" customHeight="1" thickBot="1" x14ac:dyDescent="0.3">
      <c r="B330" s="561" t="s">
        <v>96</v>
      </c>
      <c r="C330" s="164">
        <v>70</v>
      </c>
      <c r="D330" s="164">
        <v>70</v>
      </c>
      <c r="E330" s="164">
        <v>70</v>
      </c>
      <c r="F330" s="434">
        <v>70</v>
      </c>
    </row>
    <row r="331" spans="2:6" ht="14.1" customHeight="1" thickBot="1" x14ac:dyDescent="0.3">
      <c r="B331" s="562" t="s">
        <v>97</v>
      </c>
      <c r="C331" s="563">
        <v>1</v>
      </c>
      <c r="D331" s="563" t="s">
        <v>23</v>
      </c>
      <c r="E331" s="563" t="s">
        <v>23</v>
      </c>
      <c r="F331" s="564" t="s">
        <v>23</v>
      </c>
    </row>
    <row r="332" spans="2:6" ht="14.1" customHeight="1" x14ac:dyDescent="0.25">
      <c r="B332" s="184"/>
      <c r="C332" s="185"/>
      <c r="D332" s="185"/>
      <c r="E332" s="185"/>
      <c r="F332" s="185"/>
    </row>
    <row r="333" spans="2:6" ht="14.1" customHeight="1" x14ac:dyDescent="0.25">
      <c r="B333" s="90"/>
      <c r="C333" s="90"/>
      <c r="D333" s="90"/>
      <c r="E333" s="90"/>
      <c r="F333" s="90"/>
    </row>
    <row r="334" spans="2:6" ht="14.1" customHeight="1" x14ac:dyDescent="0.25">
      <c r="B334" s="90"/>
      <c r="C334" s="90"/>
      <c r="D334" s="90"/>
      <c r="E334" s="90"/>
      <c r="F334" s="90"/>
    </row>
    <row r="335" spans="2:6" ht="14.1" customHeight="1" x14ac:dyDescent="0.25">
      <c r="B335" s="90"/>
      <c r="C335" s="90"/>
      <c r="D335" s="90"/>
      <c r="E335" s="90"/>
      <c r="F335" s="90"/>
    </row>
    <row r="336" spans="2:6" ht="14.1" customHeight="1" x14ac:dyDescent="0.25">
      <c r="B336" s="90"/>
      <c r="C336" s="90"/>
      <c r="D336" s="90"/>
      <c r="E336" s="90"/>
      <c r="F336" s="90"/>
    </row>
    <row r="337" spans="2:6" ht="14.1" customHeight="1" x14ac:dyDescent="0.25">
      <c r="B337" s="90"/>
      <c r="C337" s="90"/>
      <c r="D337" s="90"/>
      <c r="E337" s="90"/>
      <c r="F337" s="90"/>
    </row>
    <row r="338" spans="2:6" ht="14.1" customHeight="1" x14ac:dyDescent="0.25">
      <c r="B338" s="90"/>
      <c r="C338" s="90"/>
      <c r="D338" s="90"/>
      <c r="E338" s="90"/>
      <c r="F338" s="90"/>
    </row>
    <row r="339" spans="2:6" ht="14.1" customHeight="1" x14ac:dyDescent="0.25">
      <c r="B339" s="90"/>
      <c r="C339" s="90"/>
      <c r="D339" s="90"/>
      <c r="E339" s="90"/>
      <c r="F339" s="90"/>
    </row>
    <row r="340" spans="2:6" ht="14.1" customHeight="1" x14ac:dyDescent="0.25">
      <c r="B340" s="90"/>
      <c r="C340" s="90"/>
      <c r="D340" s="90"/>
      <c r="E340" s="90"/>
      <c r="F340" s="90"/>
    </row>
    <row r="341" spans="2:6" ht="14.1" customHeight="1" x14ac:dyDescent="0.25">
      <c r="B341" s="90"/>
      <c r="C341" s="90"/>
      <c r="D341" s="90"/>
      <c r="E341" s="90"/>
      <c r="F341" s="90"/>
    </row>
    <row r="342" spans="2:6" ht="14.1" customHeight="1" x14ac:dyDescent="0.25">
      <c r="B342" s="90"/>
      <c r="C342" s="90"/>
      <c r="D342" s="90"/>
      <c r="E342" s="90"/>
      <c r="F342" s="90"/>
    </row>
    <row r="343" spans="2:6" ht="14.1" customHeight="1" x14ac:dyDescent="0.25">
      <c r="B343" s="90"/>
      <c r="C343" s="90"/>
      <c r="D343" s="90"/>
      <c r="E343" s="90"/>
      <c r="F343" s="90"/>
    </row>
    <row r="344" spans="2:6" ht="14.1" customHeight="1" x14ac:dyDescent="0.25">
      <c r="B344" s="90"/>
      <c r="C344" s="90"/>
      <c r="D344" s="90"/>
      <c r="E344" s="90"/>
      <c r="F344" s="90"/>
    </row>
    <row r="345" spans="2:6" x14ac:dyDescent="0.25">
      <c r="B345" s="90"/>
      <c r="C345" s="90"/>
      <c r="D345" s="90"/>
      <c r="E345" s="90"/>
      <c r="F345" s="90"/>
    </row>
    <row r="346" spans="2:6" ht="15" customHeight="1" x14ac:dyDescent="0.25">
      <c r="B346" s="90"/>
      <c r="C346" s="90"/>
      <c r="D346" s="90"/>
      <c r="E346" s="90"/>
      <c r="F346" s="90"/>
    </row>
    <row r="347" spans="2:6" x14ac:dyDescent="0.25">
      <c r="B347" s="90"/>
      <c r="C347" s="90"/>
      <c r="D347" s="90"/>
      <c r="E347" s="90"/>
      <c r="F347" s="90"/>
    </row>
    <row r="348" spans="2:6" ht="19.5" customHeight="1" x14ac:dyDescent="0.25">
      <c r="B348" s="90"/>
      <c r="C348" s="90"/>
      <c r="D348" s="90"/>
      <c r="E348" s="90"/>
      <c r="F348" s="90"/>
    </row>
    <row r="349" spans="2:6" x14ac:dyDescent="0.25">
      <c r="B349" s="90"/>
      <c r="C349" s="90"/>
      <c r="D349" s="90"/>
      <c r="E349" s="90"/>
      <c r="F349" s="90"/>
    </row>
    <row r="350" spans="2:6" x14ac:dyDescent="0.25">
      <c r="B350" s="90"/>
      <c r="C350" s="90"/>
      <c r="D350" s="90"/>
      <c r="E350" s="90"/>
      <c r="F350" s="90"/>
    </row>
    <row r="351" spans="2:6" ht="39.75" customHeight="1" x14ac:dyDescent="0.25">
      <c r="B351" s="90"/>
      <c r="C351" s="90"/>
      <c r="D351" s="90"/>
      <c r="E351" s="90"/>
      <c r="F351" s="90"/>
    </row>
    <row r="352" spans="2:6" ht="40.5" customHeight="1" x14ac:dyDescent="0.25">
      <c r="B352" s="90"/>
      <c r="C352" s="90"/>
      <c r="D352" s="90"/>
      <c r="E352" s="90"/>
      <c r="F352" s="90"/>
    </row>
    <row r="353" spans="2:6" ht="28.5" customHeight="1" x14ac:dyDescent="0.25">
      <c r="B353" s="90"/>
      <c r="C353" s="90"/>
      <c r="D353" s="90"/>
      <c r="E353" s="90"/>
      <c r="F353" s="90"/>
    </row>
    <row r="354" spans="2:6" ht="18" customHeight="1" x14ac:dyDescent="0.25">
      <c r="B354" s="90"/>
      <c r="C354" s="90"/>
      <c r="D354" s="90"/>
      <c r="E354" s="90"/>
      <c r="F354" s="90"/>
    </row>
    <row r="355" spans="2:6" ht="36" customHeight="1" x14ac:dyDescent="0.25">
      <c r="B355" s="90"/>
      <c r="C355" s="90"/>
      <c r="D355" s="90"/>
      <c r="E355" s="90"/>
      <c r="F355" s="90"/>
    </row>
    <row r="356" spans="2:6" ht="27" customHeight="1" x14ac:dyDescent="0.25">
      <c r="B356" s="90"/>
      <c r="C356" s="90"/>
      <c r="D356" s="90"/>
      <c r="E356" s="90"/>
      <c r="F356" s="90"/>
    </row>
    <row r="357" spans="2:6" ht="47.25" customHeight="1" x14ac:dyDescent="0.25">
      <c r="B357" s="90"/>
      <c r="C357" s="90"/>
      <c r="D357" s="90"/>
      <c r="E357" s="90"/>
      <c r="F357" s="90"/>
    </row>
    <row r="358" spans="2:6" x14ac:dyDescent="0.25">
      <c r="B358" s="90"/>
      <c r="C358" s="90"/>
      <c r="D358" s="90"/>
      <c r="E358" s="90"/>
      <c r="F358" s="90"/>
    </row>
    <row r="359" spans="2:6" x14ac:dyDescent="0.25">
      <c r="B359" s="90"/>
      <c r="C359" s="90"/>
      <c r="D359" s="90"/>
      <c r="E359" s="90"/>
      <c r="F359" s="90"/>
    </row>
    <row r="360" spans="2:6" x14ac:dyDescent="0.25">
      <c r="B360" s="90"/>
      <c r="C360" s="90"/>
      <c r="D360" s="90"/>
      <c r="E360" s="90"/>
      <c r="F360" s="90"/>
    </row>
    <row r="361" spans="2:6" ht="15.75" customHeight="1" x14ac:dyDescent="0.25">
      <c r="B361" s="90"/>
      <c r="C361" s="90"/>
      <c r="D361" s="90"/>
      <c r="E361" s="90"/>
      <c r="F361" s="90"/>
    </row>
    <row r="362" spans="2:6" x14ac:dyDescent="0.25">
      <c r="B362" s="90"/>
      <c r="C362" s="90"/>
      <c r="D362" s="90"/>
      <c r="E362" s="90"/>
      <c r="F362" s="90"/>
    </row>
    <row r="363" spans="2:6" x14ac:dyDescent="0.25">
      <c r="B363" s="90"/>
      <c r="C363" s="90"/>
      <c r="D363" s="90"/>
      <c r="E363" s="90"/>
      <c r="F363" s="90"/>
    </row>
    <row r="364" spans="2:6" x14ac:dyDescent="0.25">
      <c r="B364" s="90"/>
      <c r="C364" s="90"/>
      <c r="D364" s="90"/>
      <c r="E364" s="90"/>
      <c r="F364" s="90"/>
    </row>
    <row r="365" spans="2:6" x14ac:dyDescent="0.25">
      <c r="B365" s="90"/>
      <c r="C365" s="90"/>
      <c r="D365" s="90"/>
      <c r="E365" s="90"/>
      <c r="F365" s="90"/>
    </row>
    <row r="366" spans="2:6" x14ac:dyDescent="0.25">
      <c r="B366" s="90"/>
      <c r="C366" s="90"/>
      <c r="D366" s="90"/>
      <c r="E366" s="90"/>
      <c r="F366" s="90"/>
    </row>
    <row r="367" spans="2:6" x14ac:dyDescent="0.25">
      <c r="B367" s="90"/>
      <c r="C367" s="90"/>
      <c r="D367" s="90"/>
      <c r="E367" s="90"/>
      <c r="F367" s="90"/>
    </row>
    <row r="368" spans="2:6" x14ac:dyDescent="0.25">
      <c r="B368" s="90"/>
      <c r="C368" s="90"/>
      <c r="D368" s="90"/>
      <c r="E368" s="90"/>
      <c r="F368" s="90"/>
    </row>
    <row r="369" spans="2:6" x14ac:dyDescent="0.25">
      <c r="B369" s="90"/>
      <c r="C369" s="90"/>
      <c r="D369" s="90"/>
      <c r="E369" s="90"/>
      <c r="F369" s="90"/>
    </row>
    <row r="370" spans="2:6" x14ac:dyDescent="0.25">
      <c r="B370" s="90"/>
      <c r="C370" s="90"/>
      <c r="D370" s="90"/>
      <c r="E370" s="90"/>
      <c r="F370" s="90"/>
    </row>
    <row r="371" spans="2:6" x14ac:dyDescent="0.25">
      <c r="B371" s="90"/>
      <c r="C371" s="90"/>
      <c r="D371" s="90"/>
      <c r="E371" s="90"/>
      <c r="F371" s="90"/>
    </row>
    <row r="372" spans="2:6" x14ac:dyDescent="0.25">
      <c r="B372" s="90"/>
      <c r="C372" s="90"/>
      <c r="D372" s="90"/>
      <c r="E372" s="90"/>
      <c r="F372" s="90"/>
    </row>
    <row r="373" spans="2:6" x14ac:dyDescent="0.25">
      <c r="B373" s="90"/>
      <c r="C373" s="90"/>
      <c r="D373" s="90"/>
      <c r="E373" s="90"/>
      <c r="F373" s="90"/>
    </row>
    <row r="374" spans="2:6" x14ac:dyDescent="0.25">
      <c r="B374" s="90"/>
      <c r="C374" s="90"/>
      <c r="D374" s="90"/>
      <c r="E374" s="90"/>
      <c r="F374" s="90"/>
    </row>
    <row r="375" spans="2:6" x14ac:dyDescent="0.25">
      <c r="B375" s="90"/>
      <c r="C375" s="90"/>
      <c r="D375" s="90"/>
      <c r="E375" s="90"/>
      <c r="F375" s="90"/>
    </row>
    <row r="376" spans="2:6" x14ac:dyDescent="0.25">
      <c r="B376" s="90"/>
      <c r="C376" s="90"/>
      <c r="D376" s="90"/>
      <c r="E376" s="90"/>
      <c r="F376" s="90"/>
    </row>
    <row r="377" spans="2:6" x14ac:dyDescent="0.25">
      <c r="B377" s="90"/>
      <c r="C377" s="90"/>
      <c r="D377" s="90"/>
      <c r="E377" s="90"/>
      <c r="F377" s="90"/>
    </row>
    <row r="378" spans="2:6" x14ac:dyDescent="0.25">
      <c r="B378" s="90"/>
      <c r="C378" s="90"/>
      <c r="D378" s="90"/>
      <c r="E378" s="90"/>
      <c r="F378" s="90"/>
    </row>
    <row r="379" spans="2:6" x14ac:dyDescent="0.25">
      <c r="B379" s="90"/>
      <c r="C379" s="90"/>
      <c r="D379" s="90"/>
      <c r="E379" s="90"/>
      <c r="F379" s="90"/>
    </row>
    <row r="380" spans="2:6" x14ac:dyDescent="0.25">
      <c r="B380" s="90"/>
      <c r="C380" s="90"/>
      <c r="D380" s="90"/>
      <c r="E380" s="90"/>
      <c r="F380" s="90"/>
    </row>
    <row r="381" spans="2:6" x14ac:dyDescent="0.25">
      <c r="B381" s="90"/>
      <c r="C381" s="90"/>
      <c r="D381" s="90"/>
      <c r="E381" s="90"/>
      <c r="F381" s="90"/>
    </row>
    <row r="382" spans="2:6" x14ac:dyDescent="0.25">
      <c r="B382" s="90"/>
      <c r="C382" s="90"/>
      <c r="D382" s="90"/>
      <c r="E382" s="90"/>
      <c r="F382" s="90"/>
    </row>
    <row r="383" spans="2:6" x14ac:dyDescent="0.25">
      <c r="B383" s="90"/>
      <c r="C383" s="90"/>
      <c r="D383" s="90"/>
      <c r="E383" s="90"/>
      <c r="F383" s="90"/>
    </row>
    <row r="384" spans="2:6" ht="15.75" customHeight="1" x14ac:dyDescent="0.25">
      <c r="B384" s="90"/>
      <c r="C384" s="90"/>
      <c r="D384" s="90"/>
      <c r="E384" s="90"/>
      <c r="F384" s="90"/>
    </row>
    <row r="385" spans="2:6" x14ac:dyDescent="0.25">
      <c r="B385" s="90"/>
      <c r="C385" s="90"/>
      <c r="D385" s="90"/>
      <c r="E385" s="90"/>
      <c r="F385" s="90"/>
    </row>
    <row r="386" spans="2:6" x14ac:dyDescent="0.25">
      <c r="B386" s="90"/>
      <c r="C386" s="90"/>
      <c r="D386" s="90"/>
      <c r="E386" s="90"/>
      <c r="F386" s="90"/>
    </row>
    <row r="387" spans="2:6" x14ac:dyDescent="0.25">
      <c r="B387" s="90"/>
      <c r="C387" s="90"/>
      <c r="D387" s="90"/>
      <c r="E387" s="90"/>
      <c r="F387" s="90"/>
    </row>
    <row r="388" spans="2:6" x14ac:dyDescent="0.25">
      <c r="B388" s="90"/>
      <c r="C388" s="90"/>
      <c r="D388" s="90"/>
      <c r="E388" s="90"/>
      <c r="F388" s="90"/>
    </row>
    <row r="389" spans="2:6" x14ac:dyDescent="0.25">
      <c r="B389" s="90"/>
      <c r="C389" s="90"/>
      <c r="D389" s="90"/>
      <c r="E389" s="90"/>
      <c r="F389" s="90"/>
    </row>
    <row r="390" spans="2:6" x14ac:dyDescent="0.25">
      <c r="B390" s="90"/>
      <c r="C390" s="90"/>
      <c r="D390" s="90"/>
      <c r="E390" s="90"/>
      <c r="F390" s="90"/>
    </row>
    <row r="391" spans="2:6" x14ac:dyDescent="0.25">
      <c r="B391" s="90"/>
      <c r="C391" s="90"/>
      <c r="D391" s="90"/>
      <c r="E391" s="90"/>
      <c r="F391" s="90"/>
    </row>
    <row r="392" spans="2:6" x14ac:dyDescent="0.25">
      <c r="B392" s="90"/>
      <c r="C392" s="90"/>
      <c r="D392" s="90"/>
      <c r="E392" s="90"/>
      <c r="F392" s="90"/>
    </row>
    <row r="393" spans="2:6" x14ac:dyDescent="0.25">
      <c r="B393" s="90"/>
      <c r="C393" s="90"/>
      <c r="D393" s="90"/>
      <c r="E393" s="90"/>
      <c r="F393" s="90"/>
    </row>
    <row r="394" spans="2:6" x14ac:dyDescent="0.25">
      <c r="B394" s="90"/>
      <c r="C394" s="90"/>
      <c r="D394" s="90"/>
      <c r="E394" s="90"/>
      <c r="F394" s="90"/>
    </row>
    <row r="395" spans="2:6" x14ac:dyDescent="0.25">
      <c r="B395" s="90"/>
      <c r="C395" s="90"/>
      <c r="D395" s="90"/>
      <c r="E395" s="90"/>
      <c r="F395" s="90"/>
    </row>
    <row r="396" spans="2:6" x14ac:dyDescent="0.25">
      <c r="B396" s="90"/>
      <c r="C396" s="90"/>
      <c r="D396" s="90"/>
      <c r="E396" s="90"/>
      <c r="F396" s="90"/>
    </row>
    <row r="397" spans="2:6" x14ac:dyDescent="0.25">
      <c r="B397" s="90"/>
      <c r="C397" s="90"/>
      <c r="D397" s="90"/>
      <c r="E397" s="90"/>
      <c r="F397" s="90"/>
    </row>
    <row r="398" spans="2:6" x14ac:dyDescent="0.25">
      <c r="B398" s="90"/>
      <c r="C398" s="90"/>
      <c r="D398" s="90"/>
      <c r="E398" s="90"/>
      <c r="F398" s="90"/>
    </row>
    <row r="399" spans="2:6" x14ac:dyDescent="0.25">
      <c r="B399" s="90"/>
      <c r="C399" s="90"/>
      <c r="D399" s="90"/>
      <c r="E399" s="90"/>
      <c r="F399" s="90"/>
    </row>
    <row r="400" spans="2:6" x14ac:dyDescent="0.25">
      <c r="B400" s="90"/>
      <c r="C400" s="90"/>
      <c r="D400" s="90"/>
      <c r="E400" s="90"/>
      <c r="F400" s="90"/>
    </row>
    <row r="401" spans="2:6" x14ac:dyDescent="0.25">
      <c r="B401" s="90"/>
      <c r="C401" s="90"/>
      <c r="D401" s="90"/>
      <c r="E401" s="90"/>
      <c r="F401" s="90"/>
    </row>
    <row r="402" spans="2:6" x14ac:dyDescent="0.25">
      <c r="B402" s="90"/>
      <c r="C402" s="90"/>
      <c r="D402" s="90"/>
      <c r="E402" s="90"/>
      <c r="F402" s="90"/>
    </row>
    <row r="403" spans="2:6" x14ac:dyDescent="0.25">
      <c r="B403" s="90"/>
      <c r="C403" s="90"/>
      <c r="D403" s="90"/>
      <c r="E403" s="90"/>
      <c r="F403" s="90"/>
    </row>
    <row r="404" spans="2:6" x14ac:dyDescent="0.25">
      <c r="B404" s="90"/>
      <c r="C404" s="90"/>
      <c r="D404" s="90"/>
      <c r="E404" s="90"/>
      <c r="F404" s="90"/>
    </row>
    <row r="405" spans="2:6" x14ac:dyDescent="0.25">
      <c r="B405" s="90"/>
      <c r="C405" s="90"/>
      <c r="D405" s="90"/>
      <c r="E405" s="90"/>
      <c r="F405" s="90"/>
    </row>
    <row r="406" spans="2:6" x14ac:dyDescent="0.25">
      <c r="B406" s="90"/>
      <c r="C406" s="90"/>
      <c r="D406" s="90"/>
      <c r="E406" s="90"/>
      <c r="F406" s="90"/>
    </row>
    <row r="407" spans="2:6" x14ac:dyDescent="0.25">
      <c r="B407" s="90"/>
      <c r="C407" s="90"/>
      <c r="D407" s="90"/>
      <c r="E407" s="90"/>
      <c r="F407" s="90"/>
    </row>
    <row r="408" spans="2:6" x14ac:dyDescent="0.25">
      <c r="B408" s="90"/>
      <c r="C408" s="90"/>
      <c r="D408" s="90"/>
      <c r="E408" s="90"/>
      <c r="F408" s="90"/>
    </row>
    <row r="409" spans="2:6" x14ac:dyDescent="0.25">
      <c r="B409" s="90"/>
      <c r="C409" s="90"/>
      <c r="D409" s="90"/>
      <c r="E409" s="90"/>
      <c r="F409" s="90"/>
    </row>
    <row r="410" spans="2:6" ht="15.75" customHeight="1" x14ac:dyDescent="0.25">
      <c r="B410" s="90"/>
      <c r="C410" s="90"/>
      <c r="D410" s="90"/>
      <c r="E410" s="90"/>
      <c r="F410" s="90"/>
    </row>
    <row r="411" spans="2:6" x14ac:dyDescent="0.25">
      <c r="B411" s="90"/>
      <c r="C411" s="90"/>
      <c r="D411" s="90"/>
      <c r="E411" s="90"/>
      <c r="F411" s="90"/>
    </row>
    <row r="412" spans="2:6" x14ac:dyDescent="0.25">
      <c r="B412" s="90"/>
      <c r="C412" s="90"/>
      <c r="D412" s="90"/>
      <c r="E412" s="90"/>
      <c r="F412" s="90"/>
    </row>
    <row r="413" spans="2:6" x14ac:dyDescent="0.25">
      <c r="B413" s="90"/>
      <c r="C413" s="90"/>
      <c r="D413" s="90"/>
      <c r="E413" s="90"/>
      <c r="F413" s="90"/>
    </row>
    <row r="414" spans="2:6" x14ac:dyDescent="0.25">
      <c r="B414" s="90"/>
      <c r="C414" s="90"/>
      <c r="D414" s="90"/>
      <c r="E414" s="90"/>
      <c r="F414" s="90"/>
    </row>
    <row r="415" spans="2:6" x14ac:dyDescent="0.25">
      <c r="B415" s="90"/>
      <c r="C415" s="90"/>
      <c r="D415" s="90"/>
      <c r="E415" s="90"/>
      <c r="F415" s="90"/>
    </row>
    <row r="416" spans="2:6" x14ac:dyDescent="0.25">
      <c r="B416" s="90"/>
      <c r="C416" s="90"/>
      <c r="D416" s="90"/>
      <c r="E416" s="90"/>
      <c r="F416" s="90"/>
    </row>
    <row r="417" spans="2:6" x14ac:dyDescent="0.25">
      <c r="B417" s="90"/>
      <c r="C417" s="90"/>
      <c r="D417" s="90"/>
      <c r="E417" s="90"/>
      <c r="F417" s="90"/>
    </row>
    <row r="418" spans="2:6" x14ac:dyDescent="0.25">
      <c r="B418" s="90"/>
      <c r="C418" s="90"/>
      <c r="D418" s="90"/>
      <c r="E418" s="90"/>
      <c r="F418" s="90"/>
    </row>
    <row r="419" spans="2:6" x14ac:dyDescent="0.25">
      <c r="B419" s="90"/>
      <c r="C419" s="90"/>
      <c r="D419" s="90"/>
      <c r="E419" s="90"/>
      <c r="F419" s="90"/>
    </row>
    <row r="420" spans="2:6" x14ac:dyDescent="0.25">
      <c r="B420" s="90"/>
      <c r="C420" s="90"/>
      <c r="D420" s="90"/>
      <c r="E420" s="90"/>
      <c r="F420" s="90"/>
    </row>
    <row r="421" spans="2:6" x14ac:dyDescent="0.25">
      <c r="B421" s="90"/>
      <c r="C421" s="90"/>
      <c r="D421" s="90"/>
      <c r="E421" s="90"/>
      <c r="F421" s="90"/>
    </row>
    <row r="422" spans="2:6" x14ac:dyDescent="0.25">
      <c r="B422" s="90"/>
      <c r="C422" s="90"/>
      <c r="D422" s="90"/>
      <c r="E422" s="90"/>
      <c r="F422" s="90"/>
    </row>
    <row r="423" spans="2:6" x14ac:dyDescent="0.25">
      <c r="B423" s="90"/>
      <c r="C423" s="90"/>
      <c r="D423" s="90"/>
      <c r="E423" s="90"/>
      <c r="F423" s="90"/>
    </row>
    <row r="424" spans="2:6" x14ac:dyDescent="0.25">
      <c r="B424" s="90"/>
      <c r="C424" s="90"/>
      <c r="D424" s="90"/>
      <c r="E424" s="90"/>
      <c r="F424" s="90"/>
    </row>
    <row r="425" spans="2:6" x14ac:dyDescent="0.25">
      <c r="B425" s="90"/>
      <c r="C425" s="90"/>
      <c r="D425" s="90"/>
      <c r="E425" s="90"/>
      <c r="F425" s="90"/>
    </row>
    <row r="426" spans="2:6" x14ac:dyDescent="0.25">
      <c r="B426" s="90"/>
      <c r="C426" s="90"/>
      <c r="D426" s="90"/>
      <c r="E426" s="90"/>
      <c r="F426" s="90"/>
    </row>
    <row r="427" spans="2:6" x14ac:dyDescent="0.25">
      <c r="B427" s="90"/>
      <c r="C427" s="90"/>
      <c r="D427" s="90"/>
      <c r="E427" s="90"/>
      <c r="F427" s="90"/>
    </row>
    <row r="428" spans="2:6" ht="15.75" customHeight="1" x14ac:dyDescent="0.25">
      <c r="B428" s="90"/>
      <c r="C428" s="90"/>
      <c r="D428" s="90"/>
      <c r="E428" s="90"/>
      <c r="F428" s="90"/>
    </row>
    <row r="429" spans="2:6" x14ac:dyDescent="0.25">
      <c r="B429" s="90"/>
      <c r="C429" s="90"/>
      <c r="D429" s="90"/>
      <c r="E429" s="90"/>
      <c r="F429" s="90"/>
    </row>
    <row r="430" spans="2:6" x14ac:dyDescent="0.25">
      <c r="B430" s="90"/>
      <c r="C430" s="90"/>
      <c r="D430" s="90"/>
      <c r="E430" s="90"/>
      <c r="F430" s="90"/>
    </row>
    <row r="431" spans="2:6" x14ac:dyDescent="0.25">
      <c r="B431" s="90"/>
      <c r="C431" s="90"/>
      <c r="D431" s="90"/>
      <c r="E431" s="90"/>
      <c r="F431" s="90"/>
    </row>
    <row r="432" spans="2:6" x14ac:dyDescent="0.25">
      <c r="B432" s="90"/>
      <c r="C432" s="90"/>
      <c r="D432" s="90"/>
      <c r="E432" s="90"/>
      <c r="F432" s="90"/>
    </row>
    <row r="433" spans="2:6" x14ac:dyDescent="0.25">
      <c r="B433" s="90"/>
      <c r="C433" s="90"/>
      <c r="D433" s="90"/>
      <c r="E433" s="90"/>
      <c r="F433" s="90"/>
    </row>
    <row r="434" spans="2:6" x14ac:dyDescent="0.25">
      <c r="B434" s="90"/>
      <c r="C434" s="90"/>
      <c r="D434" s="90"/>
      <c r="E434" s="90"/>
      <c r="F434" s="90"/>
    </row>
    <row r="435" spans="2:6" x14ac:dyDescent="0.25">
      <c r="B435" s="90"/>
      <c r="C435" s="90"/>
      <c r="D435" s="90"/>
      <c r="E435" s="90"/>
      <c r="F435" s="90"/>
    </row>
    <row r="436" spans="2:6" x14ac:dyDescent="0.25">
      <c r="B436" s="90"/>
      <c r="C436" s="90"/>
      <c r="D436" s="90"/>
      <c r="E436" s="90"/>
      <c r="F436" s="90"/>
    </row>
    <row r="437" spans="2:6" x14ac:dyDescent="0.25">
      <c r="B437" s="90"/>
      <c r="C437" s="90"/>
      <c r="D437" s="90"/>
      <c r="E437" s="90"/>
      <c r="F437" s="90"/>
    </row>
    <row r="438" spans="2:6" x14ac:dyDescent="0.25">
      <c r="B438" s="90"/>
      <c r="C438" s="90"/>
      <c r="D438" s="90"/>
      <c r="E438" s="90"/>
      <c r="F438" s="90"/>
    </row>
    <row r="439" spans="2:6" x14ac:dyDescent="0.25">
      <c r="B439" s="90"/>
      <c r="C439" s="90"/>
      <c r="D439" s="90"/>
      <c r="E439" s="90"/>
      <c r="F439" s="90"/>
    </row>
    <row r="440" spans="2:6" x14ac:dyDescent="0.25">
      <c r="B440" s="90"/>
      <c r="C440" s="90"/>
      <c r="D440" s="90"/>
      <c r="E440" s="90"/>
      <c r="F440" s="90"/>
    </row>
    <row r="441" spans="2:6" x14ac:dyDescent="0.25">
      <c r="B441" s="90"/>
      <c r="C441" s="90"/>
      <c r="D441" s="90"/>
      <c r="E441" s="90"/>
      <c r="F441" s="90"/>
    </row>
    <row r="442" spans="2:6" x14ac:dyDescent="0.25">
      <c r="B442" s="90"/>
      <c r="C442" s="90"/>
      <c r="D442" s="90"/>
      <c r="E442" s="90"/>
      <c r="F442" s="90"/>
    </row>
    <row r="443" spans="2:6" x14ac:dyDescent="0.25">
      <c r="B443" s="90"/>
      <c r="C443" s="90"/>
      <c r="D443" s="90"/>
      <c r="E443" s="90"/>
      <c r="F443" s="90"/>
    </row>
    <row r="444" spans="2:6" x14ac:dyDescent="0.25">
      <c r="B444" s="90"/>
      <c r="C444" s="90"/>
      <c r="D444" s="90"/>
      <c r="E444" s="90"/>
      <c r="F444" s="90"/>
    </row>
    <row r="445" spans="2:6" x14ac:dyDescent="0.25">
      <c r="B445" s="90"/>
      <c r="C445" s="90"/>
      <c r="D445" s="90"/>
      <c r="E445" s="90"/>
      <c r="F445" s="90"/>
    </row>
    <row r="446" spans="2:6" x14ac:dyDescent="0.25">
      <c r="B446" s="90"/>
      <c r="C446" s="90"/>
      <c r="D446" s="90"/>
      <c r="E446" s="90"/>
      <c r="F446" s="90"/>
    </row>
    <row r="447" spans="2:6" x14ac:dyDescent="0.25">
      <c r="B447" s="90"/>
      <c r="C447" s="90"/>
      <c r="D447" s="90"/>
      <c r="E447" s="90"/>
      <c r="F447" s="90"/>
    </row>
    <row r="448" spans="2:6" ht="15.75" customHeight="1" x14ac:dyDescent="0.25">
      <c r="B448" s="90"/>
      <c r="C448" s="90"/>
      <c r="D448" s="90"/>
      <c r="E448" s="90"/>
      <c r="F448" s="90"/>
    </row>
    <row r="449" spans="2:6" x14ac:dyDescent="0.25">
      <c r="B449" s="90"/>
      <c r="C449" s="90"/>
      <c r="D449" s="90"/>
      <c r="E449" s="90"/>
      <c r="F449" s="90"/>
    </row>
    <row r="450" spans="2:6" x14ac:dyDescent="0.25">
      <c r="B450" s="90"/>
      <c r="C450" s="90"/>
      <c r="D450" s="90"/>
      <c r="E450" s="90"/>
      <c r="F450" s="90"/>
    </row>
    <row r="451" spans="2:6" x14ac:dyDescent="0.25">
      <c r="B451" s="90"/>
      <c r="C451" s="90"/>
      <c r="D451" s="90"/>
      <c r="E451" s="90"/>
      <c r="F451" s="90"/>
    </row>
    <row r="452" spans="2:6" x14ac:dyDescent="0.25">
      <c r="B452" s="90"/>
      <c r="C452" s="90"/>
      <c r="D452" s="90"/>
      <c r="E452" s="90"/>
      <c r="F452" s="90"/>
    </row>
    <row r="453" spans="2:6" x14ac:dyDescent="0.25">
      <c r="B453" s="90"/>
      <c r="C453" s="90"/>
      <c r="D453" s="90"/>
      <c r="E453" s="90"/>
      <c r="F453" s="90"/>
    </row>
    <row r="454" spans="2:6" x14ac:dyDescent="0.25">
      <c r="B454" s="90"/>
      <c r="C454" s="90"/>
      <c r="D454" s="90"/>
      <c r="E454" s="90"/>
      <c r="F454" s="90"/>
    </row>
    <row r="459" spans="2:6" ht="14.25" customHeight="1" x14ac:dyDescent="0.25"/>
    <row r="466" ht="15.75" customHeight="1" x14ac:dyDescent="0.25"/>
  </sheetData>
  <mergeCells count="103">
    <mergeCell ref="B2:F2"/>
    <mergeCell ref="C4:F4"/>
    <mergeCell ref="C5:F5"/>
    <mergeCell ref="C6:F6"/>
    <mergeCell ref="B7:F7"/>
    <mergeCell ref="B23:F23"/>
    <mergeCell ref="B24:F24"/>
    <mergeCell ref="C25:F25"/>
    <mergeCell ref="C26:F26"/>
    <mergeCell ref="C27:F27"/>
    <mergeCell ref="B28:B29"/>
    <mergeCell ref="B9:F9"/>
    <mergeCell ref="B10:F10"/>
    <mergeCell ref="C11:F11"/>
    <mergeCell ref="B12:B13"/>
    <mergeCell ref="C17:F17"/>
    <mergeCell ref="B18:F18"/>
    <mergeCell ref="C55:F55"/>
    <mergeCell ref="C56:F56"/>
    <mergeCell ref="B58:B59"/>
    <mergeCell ref="B65:F65"/>
    <mergeCell ref="B66:B67"/>
    <mergeCell ref="C77:F77"/>
    <mergeCell ref="B36:F36"/>
    <mergeCell ref="B37:B38"/>
    <mergeCell ref="C48:F48"/>
    <mergeCell ref="B49:F49"/>
    <mergeCell ref="B53:F53"/>
    <mergeCell ref="C54:F54"/>
    <mergeCell ref="B94:F94"/>
    <mergeCell ref="B95:B96"/>
    <mergeCell ref="C106:F106"/>
    <mergeCell ref="B107:F107"/>
    <mergeCell ref="C111:F111"/>
    <mergeCell ref="C112:F112"/>
    <mergeCell ref="B78:F78"/>
    <mergeCell ref="B82:F82"/>
    <mergeCell ref="C83:F83"/>
    <mergeCell ref="C84:F84"/>
    <mergeCell ref="C85:F85"/>
    <mergeCell ref="B87:B88"/>
    <mergeCell ref="B138:B139"/>
    <mergeCell ref="B145:F145"/>
    <mergeCell ref="B146:B147"/>
    <mergeCell ref="B158:F158"/>
    <mergeCell ref="B159:F159"/>
    <mergeCell ref="B160:F160"/>
    <mergeCell ref="C113:F113"/>
    <mergeCell ref="B115:B116"/>
    <mergeCell ref="B122:F122"/>
    <mergeCell ref="B123:B124"/>
    <mergeCell ref="C135:F135"/>
    <mergeCell ref="C136:F136"/>
    <mergeCell ref="B174:B175"/>
    <mergeCell ref="C179:F179"/>
    <mergeCell ref="C180:F180"/>
    <mergeCell ref="C181:F181"/>
    <mergeCell ref="C182:F182"/>
    <mergeCell ref="C183:F183"/>
    <mergeCell ref="C161:F161"/>
    <mergeCell ref="C162:F162"/>
    <mergeCell ref="C163:F163"/>
    <mergeCell ref="C164:F164"/>
    <mergeCell ref="B165:B166"/>
    <mergeCell ref="B173:F173"/>
    <mergeCell ref="C201:F201"/>
    <mergeCell ref="C202:F202"/>
    <mergeCell ref="B203:B204"/>
    <mergeCell ref="B211:F211"/>
    <mergeCell ref="B212:B213"/>
    <mergeCell ref="C217:F217"/>
    <mergeCell ref="B184:B185"/>
    <mergeCell ref="B192:F192"/>
    <mergeCell ref="B193:B194"/>
    <mergeCell ref="C198:F198"/>
    <mergeCell ref="C199:F199"/>
    <mergeCell ref="C200:F200"/>
    <mergeCell ref="B235:F235"/>
    <mergeCell ref="B236:B237"/>
    <mergeCell ref="C247:F247"/>
    <mergeCell ref="C248:F248"/>
    <mergeCell ref="B249:F249"/>
    <mergeCell ref="B253:F253"/>
    <mergeCell ref="C218:F218"/>
    <mergeCell ref="B219:F219"/>
    <mergeCell ref="B223:F223"/>
    <mergeCell ref="C225:F225"/>
    <mergeCell ref="C226:F226"/>
    <mergeCell ref="B228:B229"/>
    <mergeCell ref="B295:F295"/>
    <mergeCell ref="B296:B297"/>
    <mergeCell ref="C278:F278"/>
    <mergeCell ref="B279:F279"/>
    <mergeCell ref="B283:F283"/>
    <mergeCell ref="C285:F285"/>
    <mergeCell ref="C286:F286"/>
    <mergeCell ref="B288:B289"/>
    <mergeCell ref="C255:F255"/>
    <mergeCell ref="C256:F256"/>
    <mergeCell ref="B258:B259"/>
    <mergeCell ref="B265:F265"/>
    <mergeCell ref="B266:B267"/>
    <mergeCell ref="C277:F277"/>
  </mergeCells>
  <printOptions horizontalCentered="1" verticalCentered="1"/>
  <pageMargins left="0.2" right="0.2" top="0.5" bottom="0.5" header="0.3" footer="0.3"/>
  <pageSetup scale="90" orientation="portrait" r:id="rId1"/>
  <rowBreaks count="1" manualBreakCount="1">
    <brk id="16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291"/>
  <sheetViews>
    <sheetView topLeftCell="A253" zoomScaleNormal="100" workbookViewId="0">
      <selection activeCell="H297" sqref="H297"/>
    </sheetView>
  </sheetViews>
  <sheetFormatPr defaultColWidth="8.85546875" defaultRowHeight="15.75" x14ac:dyDescent="0.25"/>
  <cols>
    <col min="1" max="1" width="11" style="128" customWidth="1"/>
    <col min="2" max="2" width="43.42578125" style="128" customWidth="1"/>
    <col min="3" max="6" width="21.42578125" style="128" customWidth="1"/>
    <col min="7" max="7" width="8.85546875" style="128"/>
    <col min="8" max="8" width="18.42578125" style="128" customWidth="1"/>
    <col min="9" max="9" width="11" style="128" customWidth="1"/>
    <col min="10" max="10" width="11" style="128" bestFit="1" customWidth="1"/>
    <col min="11" max="16384" width="8.85546875" style="128"/>
  </cols>
  <sheetData>
    <row r="2" spans="2:7" ht="18" customHeight="1" x14ac:dyDescent="0.25">
      <c r="B2" s="1159" t="s">
        <v>0</v>
      </c>
      <c r="C2" s="1159"/>
      <c r="D2" s="1159"/>
      <c r="E2" s="1159"/>
      <c r="F2" s="1159"/>
      <c r="G2" s="129"/>
    </row>
    <row r="3" spans="2:7" ht="16.5" thickBot="1" x14ac:dyDescent="0.3">
      <c r="F3" s="128" t="s">
        <v>665</v>
      </c>
    </row>
    <row r="4" spans="2:7" ht="16.5" thickBot="1" x14ac:dyDescent="0.3">
      <c r="B4" s="36" t="s">
        <v>2</v>
      </c>
      <c r="C4" s="1160" t="str">
        <f>'[6]Formati 1 Misioni'!C9</f>
        <v>MBIKËQYRJA E TREGUT DHE ADVOKACIA E KONKURRENCËS</v>
      </c>
      <c r="D4" s="1160"/>
      <c r="E4" s="1160"/>
      <c r="F4" s="1160"/>
    </row>
    <row r="5" spans="2:7" ht="20.45" customHeight="1" thickBot="1" x14ac:dyDescent="0.3">
      <c r="B5" s="36" t="s">
        <v>3</v>
      </c>
      <c r="C5" s="1161" t="s">
        <v>666</v>
      </c>
      <c r="D5" s="1162"/>
      <c r="E5" s="1162"/>
      <c r="F5" s="1163"/>
    </row>
    <row r="6" spans="2:7" ht="25.15" customHeight="1" thickBot="1" x14ac:dyDescent="0.3">
      <c r="B6" s="36" t="s">
        <v>5</v>
      </c>
      <c r="C6" s="1133" t="s">
        <v>6</v>
      </c>
      <c r="D6" s="1134"/>
      <c r="E6" s="1134"/>
      <c r="F6" s="1135"/>
    </row>
    <row r="7" spans="2:7" ht="17.45" customHeight="1" thickBot="1" x14ac:dyDescent="0.3">
      <c r="B7" s="1164" t="s">
        <v>7</v>
      </c>
      <c r="C7" s="1165"/>
      <c r="D7" s="1165"/>
      <c r="E7" s="1165"/>
      <c r="F7" s="1166"/>
    </row>
    <row r="8" spans="2:7" ht="16.5" thickBot="1" x14ac:dyDescent="0.3">
      <c r="B8" s="1516" t="s">
        <v>667</v>
      </c>
      <c r="C8" s="1517"/>
      <c r="D8" s="1517"/>
      <c r="E8" s="1517"/>
      <c r="F8" s="1518"/>
    </row>
    <row r="9" spans="2:7" ht="36.75" customHeight="1" thickBot="1" x14ac:dyDescent="0.3">
      <c r="B9" s="1516"/>
      <c r="C9" s="1517"/>
      <c r="D9" s="1517"/>
      <c r="E9" s="1517"/>
      <c r="F9" s="1518"/>
    </row>
    <row r="10" spans="2:7" ht="16.5" thickBot="1" x14ac:dyDescent="0.3">
      <c r="B10" s="1516"/>
      <c r="C10" s="1517"/>
      <c r="D10" s="1517"/>
      <c r="E10" s="1517"/>
      <c r="F10" s="1518"/>
    </row>
    <row r="11" spans="2:7" ht="92.25" customHeight="1" thickBot="1" x14ac:dyDescent="0.3">
      <c r="B11" s="37" t="s">
        <v>8</v>
      </c>
      <c r="C11" s="776" t="s">
        <v>831</v>
      </c>
      <c r="D11" s="777"/>
      <c r="E11" s="777"/>
      <c r="F11" s="778"/>
    </row>
    <row r="12" spans="2:7" ht="23.25" customHeight="1" x14ac:dyDescent="0.25">
      <c r="B12" s="1113" t="s">
        <v>102</v>
      </c>
      <c r="C12" s="38">
        <v>2018</v>
      </c>
      <c r="D12" s="38">
        <v>2019</v>
      </c>
      <c r="E12" s="38">
        <v>2020</v>
      </c>
      <c r="F12" s="38">
        <v>2021</v>
      </c>
    </row>
    <row r="13" spans="2:7" ht="16.5" thickBot="1" x14ac:dyDescent="0.3">
      <c r="B13" s="1114"/>
      <c r="C13" s="39" t="s">
        <v>10</v>
      </c>
      <c r="D13" s="39" t="s">
        <v>11</v>
      </c>
      <c r="E13" s="39" t="s">
        <v>11</v>
      </c>
      <c r="F13" s="39" t="s">
        <v>11</v>
      </c>
    </row>
    <row r="14" spans="2:7" ht="48.6" customHeight="1" thickBot="1" x14ac:dyDescent="0.3">
      <c r="B14" s="71" t="str">
        <f>'[6]Formati 2 Politika Ekzistuese'!C15</f>
        <v>Rritja e mundësisë së zgjedhjeve konsumatore(produkte dhe shërbime me cilësi të mirë dhe çmime të ulta</v>
      </c>
      <c r="C14" s="130">
        <f>'[6]Formati 2 Politika Ekzistuese'!D15</f>
        <v>0.5</v>
      </c>
      <c r="D14" s="71" t="str">
        <f>'[6]Formati 2 Politika Ekzistuese'!E15</f>
        <v>Trend rritës</v>
      </c>
      <c r="E14" s="71" t="str">
        <f>'[6]Formati 2 Politika Ekzistuese'!F15</f>
        <v>Trend rritës</v>
      </c>
      <c r="F14" s="71" t="str">
        <f>'[6]Formati 2 Politika Ekzistuese'!G15</f>
        <v>Trend rritës</v>
      </c>
    </row>
    <row r="15" spans="2:7" ht="54.6" customHeight="1" thickBot="1" x14ac:dyDescent="0.3">
      <c r="B15" s="71" t="str">
        <f>'[6]Formati 2 Politika Ekzistuese'!C16</f>
        <v>Rritja e efiçencës së tregjeve nga performanca e ndërmarrjeve duke respektuar rregullat e konkurrencës</v>
      </c>
      <c r="C15" s="130">
        <f>'[6]Formati 2 Politika Ekzistuese'!D16</f>
        <v>0.4</v>
      </c>
      <c r="D15" s="71" t="str">
        <f>'[6]Formati 2 Politika Ekzistuese'!E16</f>
        <v>Trend rritës</v>
      </c>
      <c r="E15" s="71" t="str">
        <f>'[6]Formati 2 Politika Ekzistuese'!F16</f>
        <v>Trend rritës</v>
      </c>
      <c r="F15" s="71" t="str">
        <f>'[6]Formati 2 Politika Ekzistuese'!G16</f>
        <v>Trend rritës</v>
      </c>
    </row>
    <row r="16" spans="2:7" ht="48" customHeight="1" thickBot="1" x14ac:dyDescent="0.3">
      <c r="B16" s="71" t="str">
        <f>'[6]Formati 2 Politika Ekzistuese'!C17</f>
        <v>Ndërgjegjësimi I ndërrmarrjeve dhe konsumatorëve për përfitimet që vinë nga konkurrenca</v>
      </c>
      <c r="C16" s="130">
        <f>'[6]Formati 2 Politika Ekzistuese'!D17</f>
        <v>0.45</v>
      </c>
      <c r="D16" s="71" t="str">
        <f>'[6]Formati 2 Politika Ekzistuese'!E17</f>
        <v>Trend rritës</v>
      </c>
      <c r="E16" s="71" t="str">
        <f>'[6]Formati 2 Politika Ekzistuese'!F17</f>
        <v>Trend rritës</v>
      </c>
      <c r="F16" s="71" t="str">
        <f>'[6]Formati 2 Politika Ekzistuese'!G17</f>
        <v>Trend rritës</v>
      </c>
    </row>
    <row r="17" spans="2:12" ht="34.15" customHeight="1" thickBot="1" x14ac:dyDescent="0.3">
      <c r="B17" s="42" t="s">
        <v>12</v>
      </c>
      <c r="C17" s="1115" t="s">
        <v>668</v>
      </c>
      <c r="D17" s="1116"/>
      <c r="E17" s="1116"/>
      <c r="F17" s="1117"/>
    </row>
    <row r="18" spans="2:12" ht="23.25" customHeight="1" thickBot="1" x14ac:dyDescent="0.3">
      <c r="B18" s="1133" t="s">
        <v>103</v>
      </c>
      <c r="C18" s="1134"/>
      <c r="D18" s="1134"/>
      <c r="E18" s="1134"/>
      <c r="F18" s="1135"/>
      <c r="I18" s="131"/>
      <c r="K18" s="131"/>
    </row>
    <row r="19" spans="2:12" ht="32.25" thickBot="1" x14ac:dyDescent="0.3">
      <c r="B19" s="71" t="s">
        <v>669</v>
      </c>
      <c r="C19" s="41">
        <v>0.5</v>
      </c>
      <c r="D19" s="41" t="s">
        <v>114</v>
      </c>
      <c r="E19" s="41" t="s">
        <v>114</v>
      </c>
      <c r="F19" s="41" t="s">
        <v>114</v>
      </c>
    </row>
    <row r="20" spans="2:12" ht="16.5" thickBot="1" x14ac:dyDescent="0.3">
      <c r="B20" s="40"/>
      <c r="C20" s="41"/>
      <c r="D20" s="41"/>
      <c r="E20" s="41"/>
      <c r="F20" s="41"/>
    </row>
    <row r="21" spans="2:12" ht="16.5" thickBot="1" x14ac:dyDescent="0.3">
      <c r="C21" s="41"/>
      <c r="D21" s="41"/>
      <c r="E21" s="41"/>
      <c r="F21" s="41"/>
    </row>
    <row r="22" spans="2:12" ht="16.5" thickBot="1" x14ac:dyDescent="0.3">
      <c r="B22" s="1127" t="s">
        <v>14</v>
      </c>
      <c r="C22" s="1128"/>
      <c r="D22" s="1128"/>
      <c r="E22" s="1128"/>
      <c r="F22" s="1129"/>
    </row>
    <row r="23" spans="2:12" ht="16.5" thickBot="1" x14ac:dyDescent="0.3">
      <c r="B23" s="1127" t="s">
        <v>104</v>
      </c>
      <c r="C23" s="1128"/>
      <c r="D23" s="1128"/>
      <c r="E23" s="1128"/>
      <c r="F23" s="1129"/>
    </row>
    <row r="24" spans="2:12" ht="16.5" thickBot="1" x14ac:dyDescent="0.3">
      <c r="B24" s="43" t="s">
        <v>105</v>
      </c>
      <c r="C24" s="1130" t="s">
        <v>670</v>
      </c>
      <c r="D24" s="1131"/>
      <c r="E24" s="1131"/>
      <c r="F24" s="1132"/>
    </row>
    <row r="25" spans="2:12" ht="43.5" customHeight="1" thickBot="1" x14ac:dyDescent="0.3">
      <c r="B25" s="40" t="s">
        <v>17</v>
      </c>
      <c r="C25" s="1115" t="s">
        <v>671</v>
      </c>
      <c r="D25" s="1116"/>
      <c r="E25" s="1116"/>
      <c r="F25" s="1117"/>
    </row>
    <row r="26" spans="2:12" ht="16.5" thickBot="1" x14ac:dyDescent="0.3">
      <c r="B26" s="40" t="s">
        <v>18</v>
      </c>
      <c r="C26" s="1130" t="s">
        <v>672</v>
      </c>
      <c r="D26" s="1131"/>
      <c r="E26" s="1131"/>
      <c r="F26" s="1132"/>
    </row>
    <row r="27" spans="2:12" ht="12.75" customHeight="1" x14ac:dyDescent="0.25">
      <c r="B27" s="1113"/>
      <c r="C27" s="44">
        <v>2018</v>
      </c>
      <c r="D27" s="44">
        <v>2019</v>
      </c>
      <c r="E27" s="44">
        <v>2020</v>
      </c>
      <c r="F27" s="44">
        <v>2021</v>
      </c>
    </row>
    <row r="28" spans="2:12" ht="27.75" customHeight="1" thickBot="1" x14ac:dyDescent="0.3">
      <c r="B28" s="1114"/>
      <c r="C28" s="45" t="s">
        <v>10</v>
      </c>
      <c r="D28" s="45" t="s">
        <v>11</v>
      </c>
      <c r="E28" s="45" t="s">
        <v>11</v>
      </c>
      <c r="F28" s="45" t="s">
        <v>11</v>
      </c>
    </row>
    <row r="29" spans="2:12" ht="16.5" thickBot="1" x14ac:dyDescent="0.3">
      <c r="B29" s="40" t="s">
        <v>19</v>
      </c>
      <c r="C29" s="48">
        <f>20+10</f>
        <v>30</v>
      </c>
      <c r="D29" s="48">
        <f>22+11</f>
        <v>33</v>
      </c>
      <c r="E29" s="48">
        <f>24+10</f>
        <v>34</v>
      </c>
      <c r="F29" s="48">
        <f>35</f>
        <v>35</v>
      </c>
    </row>
    <row r="30" spans="2:12" ht="16.5" thickBot="1" x14ac:dyDescent="0.3">
      <c r="B30" s="40" t="s">
        <v>20</v>
      </c>
      <c r="C30" s="48">
        <v>17950</v>
      </c>
      <c r="D30" s="48">
        <f>71000*0.25</f>
        <v>17750</v>
      </c>
      <c r="E30" s="48">
        <f>72000*0.25</f>
        <v>18000</v>
      </c>
      <c r="F30" s="48">
        <f>72500*0.25</f>
        <v>18125</v>
      </c>
    </row>
    <row r="31" spans="2:12" ht="16.5" thickBot="1" x14ac:dyDescent="0.3">
      <c r="B31" s="40" t="s">
        <v>21</v>
      </c>
      <c r="C31" s="48">
        <f>C30/C29</f>
        <v>598.33333333333337</v>
      </c>
      <c r="D31" s="48">
        <f t="shared" ref="D31:F31" si="0">D30/D29</f>
        <v>537.87878787878788</v>
      </c>
      <c r="E31" s="48">
        <f t="shared" si="0"/>
        <v>529.41176470588232</v>
      </c>
      <c r="F31" s="48">
        <f t="shared" si="0"/>
        <v>517.85714285714289</v>
      </c>
    </row>
    <row r="32" spans="2:12" ht="16.5" thickBot="1" x14ac:dyDescent="0.3">
      <c r="B32" s="40" t="s">
        <v>22</v>
      </c>
      <c r="C32" s="74" t="s">
        <v>23</v>
      </c>
      <c r="D32" s="49">
        <f>D29/C29-1</f>
        <v>0.10000000000000009</v>
      </c>
      <c r="E32" s="49">
        <f t="shared" ref="E32:F34" si="1">E29/D29-1</f>
        <v>3.0303030303030276E-2</v>
      </c>
      <c r="F32" s="49">
        <f t="shared" si="1"/>
        <v>2.9411764705882248E-2</v>
      </c>
      <c r="H32" s="132"/>
      <c r="I32" s="132"/>
      <c r="J32" s="132"/>
      <c r="K32" s="132"/>
      <c r="L32" s="132"/>
    </row>
    <row r="33" spans="2:6" ht="16.5" thickBot="1" x14ac:dyDescent="0.3">
      <c r="B33" s="40" t="s">
        <v>24</v>
      </c>
      <c r="C33" s="74" t="s">
        <v>23</v>
      </c>
      <c r="D33" s="49">
        <f>D30/C30-1</f>
        <v>-1.1142061281337101E-2</v>
      </c>
      <c r="E33" s="49">
        <f t="shared" si="1"/>
        <v>1.4084507042253502E-2</v>
      </c>
      <c r="F33" s="49">
        <f t="shared" si="1"/>
        <v>6.9444444444444198E-3</v>
      </c>
    </row>
    <row r="34" spans="2:6" ht="16.5" thickBot="1" x14ac:dyDescent="0.3">
      <c r="B34" s="40" t="s">
        <v>25</v>
      </c>
      <c r="C34" s="74" t="s">
        <v>23</v>
      </c>
      <c r="D34" s="49">
        <f>D31/C31-1</f>
        <v>-0.10103823752848828</v>
      </c>
      <c r="E34" s="49">
        <f t="shared" si="1"/>
        <v>-1.5741507870754012E-2</v>
      </c>
      <c r="F34" s="49">
        <f t="shared" si="1"/>
        <v>-2.1825396825396748E-2</v>
      </c>
    </row>
    <row r="35" spans="2:6" ht="16.5" thickBot="1" x14ac:dyDescent="0.3">
      <c r="B35" s="1124" t="s">
        <v>673</v>
      </c>
      <c r="C35" s="1125"/>
      <c r="D35" s="1125"/>
      <c r="E35" s="1125"/>
      <c r="F35" s="1126"/>
    </row>
    <row r="36" spans="2:6" ht="12.75" customHeight="1" x14ac:dyDescent="0.25">
      <c r="B36" s="1113"/>
      <c r="C36" s="44">
        <v>2018</v>
      </c>
      <c r="D36" s="44">
        <v>2019</v>
      </c>
      <c r="E36" s="44">
        <v>2020</v>
      </c>
      <c r="F36" s="44">
        <v>2021</v>
      </c>
    </row>
    <row r="37" spans="2:6" ht="27.75" customHeight="1" thickBot="1" x14ac:dyDescent="0.3">
      <c r="B37" s="1114"/>
      <c r="C37" s="45" t="s">
        <v>10</v>
      </c>
      <c r="D37" s="45" t="s">
        <v>11</v>
      </c>
      <c r="E37" s="45" t="s">
        <v>11</v>
      </c>
      <c r="F37" s="45" t="s">
        <v>11</v>
      </c>
    </row>
    <row r="38" spans="2:6" ht="16.5" thickBot="1" x14ac:dyDescent="0.3">
      <c r="B38" s="50" t="s">
        <v>26</v>
      </c>
      <c r="C38" s="51">
        <v>13225</v>
      </c>
      <c r="D38" s="51">
        <f>D30*0.74</f>
        <v>13135</v>
      </c>
      <c r="E38" s="51">
        <f>E30*0.74</f>
        <v>13320</v>
      </c>
      <c r="F38" s="51">
        <f>F30*0.74</f>
        <v>13412.5</v>
      </c>
    </row>
    <row r="39" spans="2:6" ht="16.5" thickBot="1" x14ac:dyDescent="0.3">
      <c r="B39" s="50" t="s">
        <v>28</v>
      </c>
      <c r="C39" s="51">
        <v>2150</v>
      </c>
      <c r="D39" s="51">
        <f t="shared" ref="D39:F39" si="2">D30*0.12</f>
        <v>2130</v>
      </c>
      <c r="E39" s="51">
        <f t="shared" si="2"/>
        <v>2160</v>
      </c>
      <c r="F39" s="51">
        <f t="shared" si="2"/>
        <v>2175</v>
      </c>
    </row>
    <row r="40" spans="2:6" ht="16.5" thickBot="1" x14ac:dyDescent="0.3">
      <c r="B40" s="50" t="s">
        <v>30</v>
      </c>
      <c r="C40" s="53">
        <v>2515</v>
      </c>
      <c r="D40" s="53">
        <f t="shared" ref="D40:F40" si="3">D30*0.14-80</f>
        <v>2405.0000000000005</v>
      </c>
      <c r="E40" s="53">
        <f t="shared" si="3"/>
        <v>2440.0000000000005</v>
      </c>
      <c r="F40" s="53">
        <f t="shared" si="3"/>
        <v>2457.5000000000005</v>
      </c>
    </row>
    <row r="41" spans="2:6" ht="16.5" thickBot="1" x14ac:dyDescent="0.3">
      <c r="B41" s="50" t="s">
        <v>32</v>
      </c>
      <c r="C41" s="53"/>
      <c r="D41" s="51"/>
      <c r="E41" s="51"/>
      <c r="F41" s="51"/>
    </row>
    <row r="42" spans="2:6" ht="16.5" thickBot="1" x14ac:dyDescent="0.3">
      <c r="B42" s="50" t="s">
        <v>34</v>
      </c>
      <c r="C42" s="53"/>
      <c r="D42" s="51"/>
      <c r="E42" s="51"/>
      <c r="F42" s="51"/>
    </row>
    <row r="43" spans="2:6" ht="16.5" thickBot="1" x14ac:dyDescent="0.3">
      <c r="B43" s="50" t="s">
        <v>36</v>
      </c>
      <c r="C43" s="53"/>
      <c r="D43" s="51"/>
      <c r="E43" s="51"/>
      <c r="F43" s="51"/>
    </row>
    <row r="44" spans="2:6" ht="16.5" thickBot="1" x14ac:dyDescent="0.3">
      <c r="B44" s="50" t="s">
        <v>38</v>
      </c>
      <c r="C44" s="53">
        <v>60</v>
      </c>
      <c r="D44" s="53">
        <v>80</v>
      </c>
      <c r="E44" s="53">
        <v>80</v>
      </c>
      <c r="F44" s="53">
        <v>80</v>
      </c>
    </row>
    <row r="45" spans="2:6" ht="16.5" thickBot="1" x14ac:dyDescent="0.3">
      <c r="B45" s="52" t="s">
        <v>40</v>
      </c>
      <c r="C45" s="53">
        <f>C44+C43+C42+C41+C40+C39+C38</f>
        <v>17950</v>
      </c>
      <c r="D45" s="53">
        <f>D44+D43+D42+D41+D40+D39+D38</f>
        <v>17750</v>
      </c>
      <c r="E45" s="53">
        <f>E44+E43+E42+E41+E40+E39+E38</f>
        <v>18000</v>
      </c>
      <c r="F45" s="53">
        <f>F44+F43+F42+F41+F40+F39+F38</f>
        <v>18125</v>
      </c>
    </row>
    <row r="46" spans="2:6" ht="16.5" thickBot="1" x14ac:dyDescent="0.3">
      <c r="B46" s="46" t="s">
        <v>41</v>
      </c>
      <c r="C46" s="47">
        <f>IF(C45-C30=0,0,"Error")</f>
        <v>0</v>
      </c>
      <c r="D46" s="47">
        <f>IF(D45-D30=0,0,"Error")</f>
        <v>0</v>
      </c>
      <c r="E46" s="47">
        <f>IF(E45-E30=0,0,"Error")</f>
        <v>0</v>
      </c>
      <c r="F46" s="47">
        <f>IF(F45-F30=0,0,"Error")</f>
        <v>0</v>
      </c>
    </row>
    <row r="47" spans="2:6" ht="16.5" thickBot="1" x14ac:dyDescent="0.3">
      <c r="B47" s="1127" t="s">
        <v>63</v>
      </c>
      <c r="C47" s="1128"/>
      <c r="D47" s="1128"/>
      <c r="E47" s="1128"/>
      <c r="F47" s="1129"/>
    </row>
    <row r="48" spans="2:6" ht="16.5" thickBot="1" x14ac:dyDescent="0.3">
      <c r="B48" s="1127" t="s">
        <v>56</v>
      </c>
      <c r="C48" s="1128"/>
      <c r="D48" s="1128"/>
      <c r="E48" s="1128"/>
      <c r="F48" s="1129"/>
    </row>
    <row r="49" spans="2:12" ht="16.5" thickBot="1" x14ac:dyDescent="0.3">
      <c r="B49" s="133" t="s">
        <v>79</v>
      </c>
      <c r="C49" s="1141" t="s">
        <v>674</v>
      </c>
      <c r="D49" s="1142"/>
      <c r="E49" s="1142"/>
      <c r="F49" s="1143"/>
    </row>
    <row r="50" spans="2:12" ht="16.5" thickBot="1" x14ac:dyDescent="0.3">
      <c r="B50" s="43" t="s">
        <v>16</v>
      </c>
      <c r="C50" s="1141" t="s">
        <v>675</v>
      </c>
      <c r="D50" s="1142"/>
      <c r="E50" s="1142"/>
      <c r="F50" s="1143"/>
    </row>
    <row r="51" spans="2:12" ht="17.25" customHeight="1" thickBot="1" x14ac:dyDescent="0.3">
      <c r="B51" s="40" t="s">
        <v>17</v>
      </c>
      <c r="C51" s="1141" t="s">
        <v>676</v>
      </c>
      <c r="D51" s="1142"/>
      <c r="E51" s="1142"/>
      <c r="F51" s="1143"/>
    </row>
    <row r="52" spans="2:12" ht="16.5" thickBot="1" x14ac:dyDescent="0.3">
      <c r="B52" s="40" t="s">
        <v>18</v>
      </c>
      <c r="C52" s="1141" t="s">
        <v>536</v>
      </c>
      <c r="D52" s="1142"/>
      <c r="E52" s="1142"/>
      <c r="F52" s="1143"/>
    </row>
    <row r="53" spans="2:12" ht="12.75" customHeight="1" x14ac:dyDescent="0.25">
      <c r="B53" s="1113"/>
      <c r="C53" s="44">
        <v>2018</v>
      </c>
      <c r="D53" s="44">
        <v>2019</v>
      </c>
      <c r="E53" s="44">
        <v>2020</v>
      </c>
      <c r="F53" s="44">
        <v>2021</v>
      </c>
    </row>
    <row r="54" spans="2:12" ht="27.75" customHeight="1" thickBot="1" x14ac:dyDescent="0.3">
      <c r="B54" s="1114"/>
      <c r="C54" s="45" t="s">
        <v>10</v>
      </c>
      <c r="D54" s="45" t="s">
        <v>11</v>
      </c>
      <c r="E54" s="45" t="s">
        <v>11</v>
      </c>
      <c r="F54" s="45" t="s">
        <v>11</v>
      </c>
    </row>
    <row r="55" spans="2:12" ht="16.5" thickBot="1" x14ac:dyDescent="0.3">
      <c r="B55" s="40" t="s">
        <v>19</v>
      </c>
      <c r="C55" s="48">
        <v>8</v>
      </c>
      <c r="D55" s="48">
        <v>10</v>
      </c>
      <c r="E55" s="48">
        <v>12</v>
      </c>
      <c r="F55" s="48">
        <v>12</v>
      </c>
    </row>
    <row r="56" spans="2:12" ht="16.5" thickBot="1" x14ac:dyDescent="0.3">
      <c r="B56" s="40" t="s">
        <v>20</v>
      </c>
      <c r="C56" s="48">
        <v>200</v>
      </c>
      <c r="D56" s="48">
        <v>200</v>
      </c>
      <c r="E56" s="48">
        <v>200</v>
      </c>
      <c r="F56" s="48">
        <v>200</v>
      </c>
    </row>
    <row r="57" spans="2:12" ht="16.5" thickBot="1" x14ac:dyDescent="0.3">
      <c r="B57" s="40" t="s">
        <v>21</v>
      </c>
      <c r="C57" s="48">
        <f>C56/C55</f>
        <v>25</v>
      </c>
      <c r="D57" s="48">
        <f t="shared" ref="D57:F57" si="4">D56/D55</f>
        <v>20</v>
      </c>
      <c r="E57" s="48">
        <f t="shared" si="4"/>
        <v>16.666666666666668</v>
      </c>
      <c r="F57" s="48">
        <f t="shared" si="4"/>
        <v>16.666666666666668</v>
      </c>
    </row>
    <row r="58" spans="2:12" ht="16.5" thickBot="1" x14ac:dyDescent="0.3">
      <c r="B58" s="40" t="s">
        <v>22</v>
      </c>
      <c r="C58" s="74" t="s">
        <v>23</v>
      </c>
      <c r="D58" s="49">
        <f>D55/C55-1</f>
        <v>0.25</v>
      </c>
      <c r="E58" s="49">
        <f t="shared" ref="E58:F60" si="5">E55/D55-1</f>
        <v>0.19999999999999996</v>
      </c>
      <c r="F58" s="49">
        <f t="shared" si="5"/>
        <v>0</v>
      </c>
      <c r="H58" s="132"/>
      <c r="I58" s="132"/>
      <c r="J58" s="132"/>
      <c r="K58" s="132"/>
      <c r="L58" s="132"/>
    </row>
    <row r="59" spans="2:12" ht="16.5" thickBot="1" x14ac:dyDescent="0.3">
      <c r="B59" s="40" t="s">
        <v>24</v>
      </c>
      <c r="C59" s="74" t="s">
        <v>23</v>
      </c>
      <c r="D59" s="49">
        <f>D56/C56-1</f>
        <v>0</v>
      </c>
      <c r="E59" s="49">
        <f t="shared" si="5"/>
        <v>0</v>
      </c>
      <c r="F59" s="49">
        <f t="shared" si="5"/>
        <v>0</v>
      </c>
    </row>
    <row r="60" spans="2:12" ht="16.5" thickBot="1" x14ac:dyDescent="0.3">
      <c r="B60" s="40" t="s">
        <v>25</v>
      </c>
      <c r="C60" s="74" t="s">
        <v>23</v>
      </c>
      <c r="D60" s="49">
        <f>D57/C57-1</f>
        <v>-0.19999999999999996</v>
      </c>
      <c r="E60" s="49">
        <f t="shared" si="5"/>
        <v>-0.16666666666666663</v>
      </c>
      <c r="F60" s="49">
        <f t="shared" si="5"/>
        <v>0</v>
      </c>
    </row>
    <row r="61" spans="2:12" ht="16.5" thickBot="1" x14ac:dyDescent="0.3">
      <c r="B61" s="1124" t="s">
        <v>673</v>
      </c>
      <c r="C61" s="1125"/>
      <c r="D61" s="1125"/>
      <c r="E61" s="1125"/>
      <c r="F61" s="1126"/>
    </row>
    <row r="62" spans="2:12" ht="12.75" customHeight="1" x14ac:dyDescent="0.25">
      <c r="B62" s="1113"/>
      <c r="C62" s="44">
        <v>2018</v>
      </c>
      <c r="D62" s="44">
        <v>2019</v>
      </c>
      <c r="E62" s="44">
        <v>2020</v>
      </c>
      <c r="F62" s="44">
        <v>2021</v>
      </c>
    </row>
    <row r="63" spans="2:12" ht="25.5" customHeight="1" thickBot="1" x14ac:dyDescent="0.3">
      <c r="B63" s="1114"/>
      <c r="C63" s="45" t="s">
        <v>10</v>
      </c>
      <c r="D63" s="45" t="s">
        <v>11</v>
      </c>
      <c r="E63" s="45" t="s">
        <v>11</v>
      </c>
      <c r="F63" s="45" t="s">
        <v>11</v>
      </c>
    </row>
    <row r="64" spans="2:12" ht="16.5" thickBot="1" x14ac:dyDescent="0.3">
      <c r="B64" s="50" t="s">
        <v>58</v>
      </c>
      <c r="C64" s="51"/>
      <c r="D64" s="51"/>
      <c r="E64" s="51"/>
      <c r="F64" s="51"/>
    </row>
    <row r="65" spans="2:6" ht="16.5" thickBot="1" x14ac:dyDescent="0.3">
      <c r="B65" s="50" t="s">
        <v>59</v>
      </c>
      <c r="C65" s="53">
        <f>C56</f>
        <v>200</v>
      </c>
      <c r="D65" s="53">
        <f t="shared" ref="D65:F65" si="6">D56</f>
        <v>200</v>
      </c>
      <c r="E65" s="53">
        <f t="shared" si="6"/>
        <v>200</v>
      </c>
      <c r="F65" s="53">
        <f t="shared" si="6"/>
        <v>200</v>
      </c>
    </row>
    <row r="66" spans="2:6" ht="16.5" thickBot="1" x14ac:dyDescent="0.3">
      <c r="B66" s="52" t="s">
        <v>40</v>
      </c>
      <c r="C66" s="53">
        <f>C65+C64</f>
        <v>200</v>
      </c>
      <c r="D66" s="53">
        <f t="shared" ref="D66:F66" si="7">D65+D64</f>
        <v>200</v>
      </c>
      <c r="E66" s="53">
        <f t="shared" si="7"/>
        <v>200</v>
      </c>
      <c r="F66" s="53">
        <f t="shared" si="7"/>
        <v>200</v>
      </c>
    </row>
    <row r="67" spans="2:6" x14ac:dyDescent="0.25">
      <c r="B67" s="1519" t="s">
        <v>60</v>
      </c>
      <c r="C67" s="795"/>
      <c r="D67" s="796"/>
      <c r="E67" s="796"/>
      <c r="F67" s="797"/>
    </row>
    <row r="68" spans="2:6" x14ac:dyDescent="0.25">
      <c r="B68" s="1520"/>
      <c r="C68" s="798"/>
      <c r="D68" s="799"/>
      <c r="E68" s="799"/>
      <c r="F68" s="800"/>
    </row>
    <row r="69" spans="2:6" ht="16.5" thickBot="1" x14ac:dyDescent="0.3">
      <c r="B69" s="1521"/>
      <c r="C69" s="801"/>
      <c r="D69" s="802"/>
      <c r="E69" s="802"/>
      <c r="F69" s="803"/>
    </row>
    <row r="70" spans="2:6" ht="16.5" thickBot="1" x14ac:dyDescent="0.3">
      <c r="B70" s="1127" t="s">
        <v>63</v>
      </c>
      <c r="C70" s="1128"/>
      <c r="D70" s="1128"/>
      <c r="E70" s="1128"/>
      <c r="F70" s="1129"/>
    </row>
    <row r="71" spans="2:6" ht="16.5" thickBot="1" x14ac:dyDescent="0.3">
      <c r="B71" s="1127" t="s">
        <v>64</v>
      </c>
      <c r="C71" s="1128"/>
      <c r="D71" s="1128"/>
      <c r="E71" s="1128"/>
      <c r="F71" s="1129"/>
    </row>
    <row r="72" spans="2:6" ht="16.5" thickBot="1" x14ac:dyDescent="0.3">
      <c r="B72" s="133" t="s">
        <v>61</v>
      </c>
      <c r="C72" s="1141" t="s">
        <v>677</v>
      </c>
      <c r="D72" s="1142"/>
      <c r="E72" s="1142"/>
      <c r="F72" s="1143"/>
    </row>
    <row r="73" spans="2:6" ht="16.5" thickBot="1" x14ac:dyDescent="0.3">
      <c r="B73" s="43" t="s">
        <v>16</v>
      </c>
      <c r="C73" s="1141" t="s">
        <v>678</v>
      </c>
      <c r="D73" s="1142"/>
      <c r="E73" s="1142"/>
      <c r="F73" s="1143"/>
    </row>
    <row r="74" spans="2:6" ht="17.25" customHeight="1" thickBot="1" x14ac:dyDescent="0.3">
      <c r="B74" s="40" t="s">
        <v>17</v>
      </c>
      <c r="C74" s="1141" t="s">
        <v>679</v>
      </c>
      <c r="D74" s="1142"/>
      <c r="E74" s="1142"/>
      <c r="F74" s="1143"/>
    </row>
    <row r="75" spans="2:6" ht="16.5" thickBot="1" x14ac:dyDescent="0.3">
      <c r="B75" s="40" t="s">
        <v>18</v>
      </c>
      <c r="C75" s="75" t="s">
        <v>73</v>
      </c>
      <c r="D75" s="76"/>
      <c r="E75" s="76"/>
      <c r="F75" s="77"/>
    </row>
    <row r="76" spans="2:6" ht="12.75" customHeight="1" x14ac:dyDescent="0.25">
      <c r="B76" s="1113"/>
      <c r="C76" s="44">
        <v>2018</v>
      </c>
      <c r="D76" s="44">
        <v>2019</v>
      </c>
      <c r="E76" s="44">
        <v>2020</v>
      </c>
      <c r="F76" s="44">
        <v>2021</v>
      </c>
    </row>
    <row r="77" spans="2:6" ht="29.25" customHeight="1" thickBot="1" x14ac:dyDescent="0.3">
      <c r="B77" s="1114"/>
      <c r="C77" s="45" t="s">
        <v>10</v>
      </c>
      <c r="D77" s="45" t="s">
        <v>11</v>
      </c>
      <c r="E77" s="45" t="s">
        <v>11</v>
      </c>
      <c r="F77" s="45" t="s">
        <v>11</v>
      </c>
    </row>
    <row r="78" spans="2:6" ht="16.5" thickBot="1" x14ac:dyDescent="0.3">
      <c r="B78" s="40" t="s">
        <v>19</v>
      </c>
      <c r="C78" s="48">
        <v>100</v>
      </c>
      <c r="D78" s="48">
        <v>0</v>
      </c>
      <c r="E78" s="48">
        <v>0</v>
      </c>
      <c r="F78" s="48">
        <v>0</v>
      </c>
    </row>
    <row r="79" spans="2:6" ht="16.5" thickBot="1" x14ac:dyDescent="0.3">
      <c r="B79" s="40" t="s">
        <v>20</v>
      </c>
      <c r="C79" s="48">
        <v>2333</v>
      </c>
      <c r="D79" s="48">
        <v>0</v>
      </c>
      <c r="E79" s="48">
        <v>0</v>
      </c>
      <c r="F79" s="48">
        <v>0</v>
      </c>
    </row>
    <row r="80" spans="2:6" ht="16.5" thickBot="1" x14ac:dyDescent="0.3">
      <c r="B80" s="40" t="s">
        <v>21</v>
      </c>
      <c r="C80" s="48">
        <f>C79/C78</f>
        <v>23.33</v>
      </c>
      <c r="D80" s="48" t="e">
        <f t="shared" ref="D80:F80" si="8">D79/D78</f>
        <v>#DIV/0!</v>
      </c>
      <c r="E80" s="48" t="e">
        <f t="shared" si="8"/>
        <v>#DIV/0!</v>
      </c>
      <c r="F80" s="48" t="e">
        <f t="shared" si="8"/>
        <v>#DIV/0!</v>
      </c>
    </row>
    <row r="81" spans="2:12" ht="16.5" thickBot="1" x14ac:dyDescent="0.3">
      <c r="B81" s="40" t="s">
        <v>22</v>
      </c>
      <c r="C81" s="74" t="s">
        <v>23</v>
      </c>
      <c r="D81" s="49">
        <f>D78/C78-1</f>
        <v>-1</v>
      </c>
      <c r="E81" s="49" t="e">
        <f t="shared" ref="E81:F83" si="9">E78/D78-1</f>
        <v>#DIV/0!</v>
      </c>
      <c r="F81" s="49" t="e">
        <f t="shared" si="9"/>
        <v>#DIV/0!</v>
      </c>
      <c r="H81" s="132"/>
      <c r="I81" s="132"/>
      <c r="J81" s="132"/>
      <c r="K81" s="132"/>
      <c r="L81" s="132"/>
    </row>
    <row r="82" spans="2:12" ht="16.5" thickBot="1" x14ac:dyDescent="0.3">
      <c r="B82" s="40" t="s">
        <v>24</v>
      </c>
      <c r="C82" s="74" t="s">
        <v>23</v>
      </c>
      <c r="D82" s="49">
        <f>D79/C79-1</f>
        <v>-1</v>
      </c>
      <c r="E82" s="49" t="e">
        <f t="shared" si="9"/>
        <v>#DIV/0!</v>
      </c>
      <c r="F82" s="49" t="e">
        <f t="shared" si="9"/>
        <v>#DIV/0!</v>
      </c>
    </row>
    <row r="83" spans="2:12" ht="16.5" thickBot="1" x14ac:dyDescent="0.3">
      <c r="B83" s="40" t="s">
        <v>25</v>
      </c>
      <c r="C83" s="74" t="s">
        <v>23</v>
      </c>
      <c r="D83" s="49" t="e">
        <f>D80/C80-1</f>
        <v>#DIV/0!</v>
      </c>
      <c r="E83" s="49" t="e">
        <f t="shared" si="9"/>
        <v>#DIV/0!</v>
      </c>
      <c r="F83" s="49" t="e">
        <f t="shared" si="9"/>
        <v>#DIV/0!</v>
      </c>
    </row>
    <row r="84" spans="2:12" ht="16.5" thickBot="1" x14ac:dyDescent="0.3">
      <c r="B84" s="1124" t="s">
        <v>673</v>
      </c>
      <c r="C84" s="1125"/>
      <c r="D84" s="1125"/>
      <c r="E84" s="1125"/>
      <c r="F84" s="1126"/>
    </row>
    <row r="85" spans="2:12" ht="12.75" customHeight="1" x14ac:dyDescent="0.25">
      <c r="B85" s="1113"/>
      <c r="C85" s="44">
        <v>2018</v>
      </c>
      <c r="D85" s="44">
        <v>2019</v>
      </c>
      <c r="E85" s="44">
        <v>2020</v>
      </c>
      <c r="F85" s="44">
        <v>2021</v>
      </c>
    </row>
    <row r="86" spans="2:12" ht="25.5" customHeight="1" thickBot="1" x14ac:dyDescent="0.3">
      <c r="B86" s="1114"/>
      <c r="C86" s="45" t="s">
        <v>10</v>
      </c>
      <c r="D86" s="45" t="s">
        <v>11</v>
      </c>
      <c r="E86" s="45" t="s">
        <v>11</v>
      </c>
      <c r="F86" s="45" t="s">
        <v>11</v>
      </c>
    </row>
    <row r="87" spans="2:12" ht="16.5" thickBot="1" x14ac:dyDescent="0.3">
      <c r="B87" s="50" t="s">
        <v>58</v>
      </c>
      <c r="C87" s="51"/>
      <c r="D87" s="51"/>
      <c r="E87" s="51"/>
      <c r="F87" s="51"/>
    </row>
    <row r="88" spans="2:12" ht="16.5" thickBot="1" x14ac:dyDescent="0.3">
      <c r="B88" s="50" t="s">
        <v>59</v>
      </c>
      <c r="C88" s="53">
        <f>C79</f>
        <v>2333</v>
      </c>
      <c r="D88" s="53">
        <f t="shared" ref="D88:F88" si="10">D79</f>
        <v>0</v>
      </c>
      <c r="E88" s="53">
        <f t="shared" si="10"/>
        <v>0</v>
      </c>
      <c r="F88" s="53">
        <f t="shared" si="10"/>
        <v>0</v>
      </c>
    </row>
    <row r="89" spans="2:12" ht="16.5" thickBot="1" x14ac:dyDescent="0.3">
      <c r="B89" s="52" t="s">
        <v>40</v>
      </c>
      <c r="C89" s="53">
        <f>C88+C87</f>
        <v>2333</v>
      </c>
      <c r="D89" s="53">
        <f t="shared" ref="D89:F89" si="11">D88+D87</f>
        <v>0</v>
      </c>
      <c r="E89" s="53">
        <f t="shared" si="11"/>
        <v>0</v>
      </c>
      <c r="F89" s="53">
        <f t="shared" si="11"/>
        <v>0</v>
      </c>
    </row>
    <row r="90" spans="2:12" ht="33.6" customHeight="1" thickBot="1" x14ac:dyDescent="0.3">
      <c r="B90" s="37" t="s">
        <v>67</v>
      </c>
      <c r="C90" s="1115" t="s">
        <v>680</v>
      </c>
      <c r="D90" s="1116"/>
      <c r="E90" s="1116"/>
      <c r="F90" s="1117"/>
    </row>
    <row r="91" spans="2:12" ht="15.75" customHeight="1" thickBot="1" x14ac:dyDescent="0.3">
      <c r="B91" s="1133" t="s">
        <v>68</v>
      </c>
      <c r="C91" s="1134"/>
      <c r="D91" s="1134"/>
      <c r="E91" s="1134"/>
      <c r="F91" s="1135"/>
    </row>
    <row r="92" spans="2:12" ht="32.25" thickBot="1" x14ac:dyDescent="0.3">
      <c r="B92" s="71" t="s">
        <v>681</v>
      </c>
      <c r="C92" s="134">
        <v>30</v>
      </c>
      <c r="D92" s="41" t="s">
        <v>114</v>
      </c>
      <c r="E92" s="41" t="s">
        <v>114</v>
      </c>
      <c r="F92" s="41" t="s">
        <v>114</v>
      </c>
    </row>
    <row r="93" spans="2:12" ht="15.75" customHeight="1" thickBot="1" x14ac:dyDescent="0.3">
      <c r="B93" s="40" t="s">
        <v>682</v>
      </c>
      <c r="C93" s="134">
        <v>10</v>
      </c>
      <c r="D93" s="41" t="s">
        <v>114</v>
      </c>
      <c r="E93" s="41" t="s">
        <v>114</v>
      </c>
      <c r="F93" s="41" t="s">
        <v>114</v>
      </c>
    </row>
    <row r="94" spans="2:12" ht="23.25" customHeight="1" thickBot="1" x14ac:dyDescent="0.3">
      <c r="B94" s="40"/>
      <c r="C94" s="41"/>
      <c r="D94" s="41"/>
      <c r="E94" s="41"/>
      <c r="F94" s="41"/>
    </row>
    <row r="95" spans="2:12" ht="23.25" customHeight="1" thickBot="1" x14ac:dyDescent="0.3">
      <c r="B95" s="1522" t="s">
        <v>69</v>
      </c>
      <c r="C95" s="1523"/>
      <c r="D95" s="1523"/>
      <c r="E95" s="1523"/>
      <c r="F95" s="1524"/>
    </row>
    <row r="96" spans="2:12" ht="23.25" customHeight="1" thickBot="1" x14ac:dyDescent="0.3">
      <c r="B96" s="1525" t="s">
        <v>70</v>
      </c>
      <c r="C96" s="1526"/>
      <c r="D96" s="1526"/>
      <c r="E96" s="1526"/>
      <c r="F96" s="1527"/>
    </row>
    <row r="97" spans="2:6" ht="12.75" customHeight="1" x14ac:dyDescent="0.25">
      <c r="B97" s="1113"/>
      <c r="C97" s="44">
        <v>2018</v>
      </c>
      <c r="D97" s="44">
        <v>2019</v>
      </c>
      <c r="E97" s="44">
        <v>2020</v>
      </c>
      <c r="F97" s="44">
        <v>2021</v>
      </c>
    </row>
    <row r="98" spans="2:6" ht="16.149999999999999" customHeight="1" thickBot="1" x14ac:dyDescent="0.3">
      <c r="B98" s="1114"/>
      <c r="C98" s="45" t="s">
        <v>10</v>
      </c>
      <c r="D98" s="45" t="s">
        <v>11</v>
      </c>
      <c r="E98" s="45" t="s">
        <v>11</v>
      </c>
      <c r="F98" s="45" t="s">
        <v>11</v>
      </c>
    </row>
    <row r="99" spans="2:6" ht="26.25" customHeight="1" thickBot="1" x14ac:dyDescent="0.3">
      <c r="B99" s="43" t="s">
        <v>16</v>
      </c>
      <c r="C99" s="1130" t="s">
        <v>683</v>
      </c>
      <c r="D99" s="1131"/>
      <c r="E99" s="1131"/>
      <c r="F99" s="1132"/>
    </row>
    <row r="100" spans="2:6" ht="31.15" customHeight="1" thickBot="1" x14ac:dyDescent="0.3">
      <c r="B100" s="40" t="s">
        <v>17</v>
      </c>
      <c r="C100" s="1115" t="s">
        <v>684</v>
      </c>
      <c r="D100" s="1116"/>
      <c r="E100" s="1116"/>
      <c r="F100" s="1117"/>
    </row>
    <row r="101" spans="2:6" ht="15.75" customHeight="1" thickBot="1" x14ac:dyDescent="0.3">
      <c r="B101" s="40" t="s">
        <v>18</v>
      </c>
      <c r="C101" s="1130" t="s">
        <v>685</v>
      </c>
      <c r="D101" s="1131"/>
      <c r="E101" s="1131"/>
      <c r="F101" s="1132"/>
    </row>
    <row r="102" spans="2:6" ht="12.75" customHeight="1" x14ac:dyDescent="0.25">
      <c r="B102" s="1113"/>
      <c r="C102" s="44">
        <v>2018</v>
      </c>
      <c r="D102" s="44">
        <v>2019</v>
      </c>
      <c r="E102" s="44">
        <v>2020</v>
      </c>
      <c r="F102" s="44">
        <v>2021</v>
      </c>
    </row>
    <row r="103" spans="2:6" ht="30.75" customHeight="1" thickBot="1" x14ac:dyDescent="0.3">
      <c r="B103" s="1114"/>
      <c r="C103" s="45" t="s">
        <v>10</v>
      </c>
      <c r="D103" s="45" t="s">
        <v>11</v>
      </c>
      <c r="E103" s="45" t="s">
        <v>11</v>
      </c>
      <c r="F103" s="45" t="s">
        <v>11</v>
      </c>
    </row>
    <row r="104" spans="2:6" ht="15.75" customHeight="1" thickBot="1" x14ac:dyDescent="0.3">
      <c r="B104" s="40" t="s">
        <v>19</v>
      </c>
      <c r="C104" s="48">
        <f>25</f>
        <v>25</v>
      </c>
      <c r="D104" s="48">
        <v>25</v>
      </c>
      <c r="E104" s="48">
        <v>26</v>
      </c>
      <c r="F104" s="48">
        <v>26</v>
      </c>
    </row>
    <row r="105" spans="2:6" ht="16.5" thickBot="1" x14ac:dyDescent="0.3">
      <c r="B105" s="40" t="s">
        <v>20</v>
      </c>
      <c r="C105" s="48">
        <v>17950</v>
      </c>
      <c r="D105" s="48">
        <f>71000*0.25</f>
        <v>17750</v>
      </c>
      <c r="E105" s="48">
        <f>72000*0.25</f>
        <v>18000</v>
      </c>
      <c r="F105" s="48">
        <f>72500*0.25</f>
        <v>18125</v>
      </c>
    </row>
    <row r="106" spans="2:6" ht="16.5" thickBot="1" x14ac:dyDescent="0.3">
      <c r="B106" s="40" t="s">
        <v>21</v>
      </c>
      <c r="C106" s="48">
        <f>C105/C104</f>
        <v>718</v>
      </c>
      <c r="D106" s="48">
        <f t="shared" ref="D106:F106" si="12">D105/D104</f>
        <v>710</v>
      </c>
      <c r="E106" s="48">
        <f t="shared" si="12"/>
        <v>692.30769230769226</v>
      </c>
      <c r="F106" s="48">
        <f t="shared" si="12"/>
        <v>697.11538461538464</v>
      </c>
    </row>
    <row r="107" spans="2:6" ht="16.5" thickBot="1" x14ac:dyDescent="0.3">
      <c r="B107" s="40" t="s">
        <v>22</v>
      </c>
      <c r="C107" s="74"/>
      <c r="D107" s="49">
        <f>D104/C104-1</f>
        <v>0</v>
      </c>
      <c r="E107" s="49">
        <f t="shared" ref="E107:F109" si="13">E104/D104-1</f>
        <v>4.0000000000000036E-2</v>
      </c>
      <c r="F107" s="49">
        <f t="shared" si="13"/>
        <v>0</v>
      </c>
    </row>
    <row r="108" spans="2:6" ht="16.5" thickBot="1" x14ac:dyDescent="0.3">
      <c r="B108" s="40" t="s">
        <v>24</v>
      </c>
      <c r="C108" s="74"/>
      <c r="D108" s="49">
        <f>D105/C105-1</f>
        <v>-1.1142061281337101E-2</v>
      </c>
      <c r="E108" s="49">
        <f t="shared" si="13"/>
        <v>1.4084507042253502E-2</v>
      </c>
      <c r="F108" s="49">
        <f t="shared" si="13"/>
        <v>6.9444444444444198E-3</v>
      </c>
    </row>
    <row r="109" spans="2:6" ht="16.5" thickBot="1" x14ac:dyDescent="0.3">
      <c r="B109" s="40" t="s">
        <v>25</v>
      </c>
      <c r="C109" s="74"/>
      <c r="D109" s="49">
        <f>D106/C106-1</f>
        <v>-1.1142061281337101E-2</v>
      </c>
      <c r="E109" s="49">
        <f t="shared" si="13"/>
        <v>-2.4918743228602436E-2</v>
      </c>
      <c r="F109" s="49">
        <f t="shared" si="13"/>
        <v>6.9444444444446418E-3</v>
      </c>
    </row>
    <row r="110" spans="2:6" ht="12.75" customHeight="1" x14ac:dyDescent="0.25">
      <c r="B110" s="1113"/>
      <c r="C110" s="44">
        <v>2018</v>
      </c>
      <c r="D110" s="44">
        <v>2019</v>
      </c>
      <c r="E110" s="44">
        <v>2020</v>
      </c>
      <c r="F110" s="44">
        <v>2021</v>
      </c>
    </row>
    <row r="111" spans="2:6" ht="9" customHeight="1" thickBot="1" x14ac:dyDescent="0.3">
      <c r="B111" s="1114"/>
      <c r="C111" s="45" t="s">
        <v>10</v>
      </c>
      <c r="D111" s="45" t="s">
        <v>11</v>
      </c>
      <c r="E111" s="45" t="s">
        <v>11</v>
      </c>
      <c r="F111" s="45" t="s">
        <v>11</v>
      </c>
    </row>
    <row r="112" spans="2:6" ht="16.5" thickBot="1" x14ac:dyDescent="0.3">
      <c r="B112" s="1124" t="s">
        <v>686</v>
      </c>
      <c r="C112" s="1125"/>
      <c r="D112" s="1125"/>
      <c r="E112" s="1125"/>
      <c r="F112" s="1126"/>
    </row>
    <row r="113" spans="2:6" ht="12.75" customHeight="1" x14ac:dyDescent="0.25">
      <c r="B113" s="1113"/>
      <c r="C113" s="44">
        <v>2018</v>
      </c>
      <c r="D113" s="44">
        <v>2019</v>
      </c>
      <c r="E113" s="44">
        <v>2020</v>
      </c>
      <c r="F113" s="44">
        <v>2021</v>
      </c>
    </row>
    <row r="114" spans="2:6" ht="30" customHeight="1" thickBot="1" x14ac:dyDescent="0.3">
      <c r="B114" s="1114"/>
      <c r="C114" s="45" t="s">
        <v>10</v>
      </c>
      <c r="D114" s="45" t="s">
        <v>11</v>
      </c>
      <c r="E114" s="45" t="s">
        <v>11</v>
      </c>
      <c r="F114" s="45" t="s">
        <v>11</v>
      </c>
    </row>
    <row r="115" spans="2:6" ht="16.5" thickBot="1" x14ac:dyDescent="0.3">
      <c r="B115" s="50" t="s">
        <v>26</v>
      </c>
      <c r="C115" s="51">
        <v>13225</v>
      </c>
      <c r="D115" s="51">
        <f>D105*0.74</f>
        <v>13135</v>
      </c>
      <c r="E115" s="51">
        <f>E105*0.74</f>
        <v>13320</v>
      </c>
      <c r="F115" s="51">
        <f>F105*0.74</f>
        <v>13412.5</v>
      </c>
    </row>
    <row r="116" spans="2:6" ht="16.5" thickBot="1" x14ac:dyDescent="0.3">
      <c r="B116" s="50" t="s">
        <v>28</v>
      </c>
      <c r="C116" s="51">
        <v>2150</v>
      </c>
      <c r="D116" s="51">
        <f>D105*0.12</f>
        <v>2130</v>
      </c>
      <c r="E116" s="51">
        <f>E105*0.12</f>
        <v>2160</v>
      </c>
      <c r="F116" s="51">
        <f>F105*0.12</f>
        <v>2175</v>
      </c>
    </row>
    <row r="117" spans="2:6" ht="16.5" thickBot="1" x14ac:dyDescent="0.3">
      <c r="B117" s="50" t="s">
        <v>30</v>
      </c>
      <c r="C117" s="53">
        <v>2515</v>
      </c>
      <c r="D117" s="53">
        <f t="shared" ref="D117:F117" si="14">D105*0.14-80</f>
        <v>2405.0000000000005</v>
      </c>
      <c r="E117" s="53">
        <f t="shared" si="14"/>
        <v>2440.0000000000005</v>
      </c>
      <c r="F117" s="53">
        <f t="shared" si="14"/>
        <v>2457.5000000000005</v>
      </c>
    </row>
    <row r="118" spans="2:6" ht="16.5" thickBot="1" x14ac:dyDescent="0.3">
      <c r="B118" s="50" t="s">
        <v>32</v>
      </c>
      <c r="C118" s="53"/>
      <c r="D118" s="53"/>
      <c r="E118" s="53"/>
      <c r="F118" s="53"/>
    </row>
    <row r="119" spans="2:6" ht="16.5" thickBot="1" x14ac:dyDescent="0.3">
      <c r="B119" s="50" t="s">
        <v>34</v>
      </c>
      <c r="C119" s="53"/>
      <c r="D119" s="53"/>
      <c r="E119" s="53"/>
      <c r="F119" s="53"/>
    </row>
    <row r="120" spans="2:6" ht="16.5" thickBot="1" x14ac:dyDescent="0.3">
      <c r="B120" s="50" t="s">
        <v>36</v>
      </c>
      <c r="C120" s="53"/>
      <c r="D120" s="53"/>
      <c r="E120" s="53"/>
      <c r="F120" s="53"/>
    </row>
    <row r="121" spans="2:6" ht="16.5" thickBot="1" x14ac:dyDescent="0.3">
      <c r="B121" s="50" t="s">
        <v>38</v>
      </c>
      <c r="C121" s="53">
        <v>60</v>
      </c>
      <c r="D121" s="53">
        <v>80</v>
      </c>
      <c r="E121" s="53">
        <v>80</v>
      </c>
      <c r="F121" s="53">
        <v>80</v>
      </c>
    </row>
    <row r="122" spans="2:6" ht="32.25" thickBot="1" x14ac:dyDescent="0.3">
      <c r="B122" s="135" t="s">
        <v>71</v>
      </c>
      <c r="C122" s="136">
        <f>C121+C120+C119+C118+C117+C116+C115</f>
        <v>17950</v>
      </c>
      <c r="D122" s="136">
        <f>D121+D120+D119+D118+D117+D116+D115</f>
        <v>17750</v>
      </c>
      <c r="E122" s="136">
        <f>E121+E120+E119+E118+E117+E116+E115</f>
        <v>18000</v>
      </c>
      <c r="F122" s="136">
        <f>F121+F120+F119+F118+F117+F116+F115</f>
        <v>18125</v>
      </c>
    </row>
    <row r="123" spans="2:6" ht="16.5" thickBot="1" x14ac:dyDescent="0.3">
      <c r="B123" s="46" t="s">
        <v>41</v>
      </c>
      <c r="C123" s="47">
        <f>IF(C122-C105=0,0,"Error")</f>
        <v>0</v>
      </c>
      <c r="D123" s="47">
        <f>IF(D122-D105=0,0,"Error")</f>
        <v>0</v>
      </c>
      <c r="E123" s="47">
        <f>IF(E122-E105=0,0,"Error")</f>
        <v>0</v>
      </c>
      <c r="F123" s="47">
        <f>IF(F122-F105=0,0,"Error")</f>
        <v>0</v>
      </c>
    </row>
    <row r="124" spans="2:6" ht="16.5" thickBot="1" x14ac:dyDescent="0.3">
      <c r="B124" s="1127" t="s">
        <v>63</v>
      </c>
      <c r="C124" s="1128"/>
      <c r="D124" s="1128"/>
      <c r="E124" s="1128"/>
      <c r="F124" s="1129"/>
    </row>
    <row r="125" spans="2:6" ht="16.5" thickBot="1" x14ac:dyDescent="0.3">
      <c r="B125" s="1127" t="s">
        <v>56</v>
      </c>
      <c r="C125" s="1128"/>
      <c r="D125" s="1128"/>
      <c r="E125" s="1128"/>
      <c r="F125" s="1129"/>
    </row>
    <row r="126" spans="2:6" ht="16.5" thickBot="1" x14ac:dyDescent="0.3">
      <c r="B126" s="133" t="s">
        <v>61</v>
      </c>
      <c r="C126" s="1141" t="s">
        <v>687</v>
      </c>
      <c r="D126" s="1142"/>
      <c r="E126" s="1142"/>
      <c r="F126" s="1143"/>
    </row>
    <row r="127" spans="2:6" ht="16.5" thickBot="1" x14ac:dyDescent="0.3">
      <c r="B127" s="43" t="s">
        <v>16</v>
      </c>
      <c r="C127" s="1141" t="s">
        <v>688</v>
      </c>
      <c r="D127" s="1142"/>
      <c r="E127" s="1142"/>
      <c r="F127" s="1143"/>
    </row>
    <row r="128" spans="2:6" ht="17.25" customHeight="1" thickBot="1" x14ac:dyDescent="0.3">
      <c r="B128" s="40" t="s">
        <v>17</v>
      </c>
      <c r="C128" s="1141" t="s">
        <v>689</v>
      </c>
      <c r="D128" s="1142"/>
      <c r="E128" s="1142"/>
      <c r="F128" s="1143"/>
    </row>
    <row r="129" spans="2:12" ht="16.5" thickBot="1" x14ac:dyDescent="0.3">
      <c r="B129" s="40" t="s">
        <v>18</v>
      </c>
      <c r="C129" s="1141" t="s">
        <v>151</v>
      </c>
      <c r="D129" s="1142"/>
      <c r="E129" s="1142"/>
      <c r="F129" s="1143"/>
    </row>
    <row r="130" spans="2:12" ht="12.75" customHeight="1" x14ac:dyDescent="0.25">
      <c r="B130" s="1113"/>
      <c r="C130" s="44">
        <v>2018</v>
      </c>
      <c r="D130" s="44">
        <v>2019</v>
      </c>
      <c r="E130" s="44">
        <v>2020</v>
      </c>
      <c r="F130" s="44">
        <v>2021</v>
      </c>
    </row>
    <row r="131" spans="2:12" ht="9" customHeight="1" thickBot="1" x14ac:dyDescent="0.3">
      <c r="B131" s="1114"/>
      <c r="C131" s="45" t="s">
        <v>10</v>
      </c>
      <c r="D131" s="45" t="s">
        <v>11</v>
      </c>
      <c r="E131" s="45" t="s">
        <v>11</v>
      </c>
      <c r="F131" s="45" t="s">
        <v>11</v>
      </c>
    </row>
    <row r="132" spans="2:12" ht="16.5" thickBot="1" x14ac:dyDescent="0.3">
      <c r="B132" s="40" t="s">
        <v>19</v>
      </c>
      <c r="C132" s="48">
        <v>10</v>
      </c>
      <c r="D132" s="48">
        <v>12</v>
      </c>
      <c r="E132" s="48">
        <v>15</v>
      </c>
      <c r="F132" s="48">
        <v>17</v>
      </c>
    </row>
    <row r="133" spans="2:12" ht="16.5" thickBot="1" x14ac:dyDescent="0.3">
      <c r="B133" s="40" t="s">
        <v>20</v>
      </c>
      <c r="C133" s="48">
        <v>600</v>
      </c>
      <c r="D133" s="48">
        <v>600</v>
      </c>
      <c r="E133" s="48">
        <v>600</v>
      </c>
      <c r="F133" s="48">
        <v>600</v>
      </c>
    </row>
    <row r="134" spans="2:12" ht="16.5" thickBot="1" x14ac:dyDescent="0.3">
      <c r="B134" s="40" t="s">
        <v>21</v>
      </c>
      <c r="C134" s="48">
        <f>C133/C132</f>
        <v>60</v>
      </c>
      <c r="D134" s="48">
        <f t="shared" ref="D134:F134" si="15">D133/D132</f>
        <v>50</v>
      </c>
      <c r="E134" s="48">
        <f t="shared" si="15"/>
        <v>40</v>
      </c>
      <c r="F134" s="48">
        <f t="shared" si="15"/>
        <v>35.294117647058826</v>
      </c>
    </row>
    <row r="135" spans="2:12" ht="16.5" thickBot="1" x14ac:dyDescent="0.3">
      <c r="B135" s="40" t="s">
        <v>22</v>
      </c>
      <c r="C135" s="74" t="s">
        <v>23</v>
      </c>
      <c r="D135" s="49">
        <f>D132/C132-1</f>
        <v>0.19999999999999996</v>
      </c>
      <c r="E135" s="49">
        <f t="shared" ref="E135:F137" si="16">E132/D132-1</f>
        <v>0.25</v>
      </c>
      <c r="F135" s="49">
        <f t="shared" si="16"/>
        <v>0.1333333333333333</v>
      </c>
      <c r="H135" s="132"/>
      <c r="I135" s="132"/>
      <c r="J135" s="132"/>
      <c r="K135" s="132"/>
      <c r="L135" s="132"/>
    </row>
    <row r="136" spans="2:12" ht="16.5" thickBot="1" x14ac:dyDescent="0.3">
      <c r="B136" s="40" t="s">
        <v>24</v>
      </c>
      <c r="C136" s="74" t="s">
        <v>23</v>
      </c>
      <c r="D136" s="49">
        <f>D133/C133-1</f>
        <v>0</v>
      </c>
      <c r="E136" s="49">
        <f t="shared" si="16"/>
        <v>0</v>
      </c>
      <c r="F136" s="49">
        <f t="shared" si="16"/>
        <v>0</v>
      </c>
    </row>
    <row r="137" spans="2:12" ht="16.5" thickBot="1" x14ac:dyDescent="0.3">
      <c r="B137" s="40" t="s">
        <v>25</v>
      </c>
      <c r="C137" s="74" t="s">
        <v>23</v>
      </c>
      <c r="D137" s="49">
        <f>D134/C134-1</f>
        <v>-0.16666666666666663</v>
      </c>
      <c r="E137" s="49">
        <f t="shared" si="16"/>
        <v>-0.19999999999999996</v>
      </c>
      <c r="F137" s="49">
        <f t="shared" si="16"/>
        <v>-0.11764705882352933</v>
      </c>
    </row>
    <row r="138" spans="2:12" ht="16.5" thickBot="1" x14ac:dyDescent="0.3">
      <c r="B138" s="1124" t="s">
        <v>673</v>
      </c>
      <c r="C138" s="1125"/>
      <c r="D138" s="1125"/>
      <c r="E138" s="1125"/>
      <c r="F138" s="1126"/>
    </row>
    <row r="139" spans="2:12" ht="12.75" customHeight="1" x14ac:dyDescent="0.25">
      <c r="B139" s="1113"/>
      <c r="C139" s="44">
        <v>2018</v>
      </c>
      <c r="D139" s="44">
        <v>2019</v>
      </c>
      <c r="E139" s="44">
        <v>2020</v>
      </c>
      <c r="F139" s="44">
        <v>2021</v>
      </c>
    </row>
    <row r="140" spans="2:12" ht="9" customHeight="1" thickBot="1" x14ac:dyDescent="0.3">
      <c r="B140" s="1114"/>
      <c r="C140" s="45" t="s">
        <v>10</v>
      </c>
      <c r="D140" s="45" t="s">
        <v>11</v>
      </c>
      <c r="E140" s="45" t="s">
        <v>11</v>
      </c>
      <c r="F140" s="45" t="s">
        <v>11</v>
      </c>
    </row>
    <row r="141" spans="2:12" ht="16.5" thickBot="1" x14ac:dyDescent="0.3">
      <c r="B141" s="50" t="s">
        <v>58</v>
      </c>
      <c r="C141" s="51"/>
      <c r="D141" s="51"/>
      <c r="E141" s="51"/>
      <c r="F141" s="51"/>
    </row>
    <row r="142" spans="2:12" ht="16.5" thickBot="1" x14ac:dyDescent="0.3">
      <c r="B142" s="50" t="s">
        <v>59</v>
      </c>
      <c r="C142" s="53">
        <f>C133</f>
        <v>600</v>
      </c>
      <c r="D142" s="53">
        <f t="shared" ref="D142:F142" si="17">D133</f>
        <v>600</v>
      </c>
      <c r="E142" s="53">
        <f t="shared" si="17"/>
        <v>600</v>
      </c>
      <c r="F142" s="53">
        <f t="shared" si="17"/>
        <v>600</v>
      </c>
    </row>
    <row r="143" spans="2:12" ht="36.6" customHeight="1" thickBot="1" x14ac:dyDescent="0.3">
      <c r="B143" s="52" t="s">
        <v>40</v>
      </c>
      <c r="C143" s="53">
        <f>C142+C141</f>
        <v>600</v>
      </c>
      <c r="D143" s="53">
        <f t="shared" ref="D143:F143" si="18">D142+D141</f>
        <v>600</v>
      </c>
      <c r="E143" s="53">
        <f t="shared" si="18"/>
        <v>600</v>
      </c>
      <c r="F143" s="53">
        <f t="shared" si="18"/>
        <v>600</v>
      </c>
    </row>
    <row r="144" spans="2:12" ht="16.5" thickBot="1" x14ac:dyDescent="0.3">
      <c r="B144" s="1127" t="s">
        <v>63</v>
      </c>
      <c r="C144" s="1128"/>
      <c r="D144" s="1128"/>
      <c r="E144" s="1128"/>
      <c r="F144" s="1129"/>
    </row>
    <row r="145" spans="2:12" ht="16.5" thickBot="1" x14ac:dyDescent="0.3">
      <c r="B145" s="1127" t="s">
        <v>64</v>
      </c>
      <c r="C145" s="1128"/>
      <c r="D145" s="1128"/>
      <c r="E145" s="1128"/>
      <c r="F145" s="1129"/>
    </row>
    <row r="146" spans="2:12" ht="16.5" thickBot="1" x14ac:dyDescent="0.3">
      <c r="B146" s="133" t="s">
        <v>61</v>
      </c>
      <c r="C146" s="1141" t="str">
        <f>C72</f>
        <v>M770032</v>
      </c>
      <c r="D146" s="1142"/>
      <c r="E146" s="1142"/>
      <c r="F146" s="1143"/>
    </row>
    <row r="147" spans="2:12" ht="16.5" thickBot="1" x14ac:dyDescent="0.3">
      <c r="B147" s="43" t="s">
        <v>16</v>
      </c>
      <c r="C147" s="1141" t="str">
        <f t="shared" ref="C147:C149" si="19">C73</f>
        <v>Punime te brendshme rifinitura</v>
      </c>
      <c r="D147" s="1142"/>
      <c r="E147" s="1142"/>
      <c r="F147" s="1143"/>
    </row>
    <row r="148" spans="2:12" ht="17.25" customHeight="1" thickBot="1" x14ac:dyDescent="0.3">
      <c r="B148" s="40" t="s">
        <v>17</v>
      </c>
      <c r="C148" s="1141" t="str">
        <f t="shared" si="19"/>
        <v>Riparime të pjesshme dhe punime të brendshme të zyrave të godinës</v>
      </c>
      <c r="D148" s="1142"/>
      <c r="E148" s="1142"/>
      <c r="F148" s="1143"/>
    </row>
    <row r="149" spans="2:12" ht="16.5" thickBot="1" x14ac:dyDescent="0.3">
      <c r="B149" s="40" t="s">
        <v>18</v>
      </c>
      <c r="C149" s="1141" t="str">
        <f t="shared" si="19"/>
        <v>cope</v>
      </c>
      <c r="D149" s="1142"/>
      <c r="E149" s="1142"/>
      <c r="F149" s="1143"/>
    </row>
    <row r="150" spans="2:12" ht="12.75" customHeight="1" x14ac:dyDescent="0.25">
      <c r="B150" s="1113"/>
      <c r="C150" s="44">
        <v>2018</v>
      </c>
      <c r="D150" s="44">
        <v>2019</v>
      </c>
      <c r="E150" s="44">
        <v>2020</v>
      </c>
      <c r="F150" s="44">
        <v>2021</v>
      </c>
    </row>
    <row r="151" spans="2:12" ht="42" customHeight="1" thickBot="1" x14ac:dyDescent="0.3">
      <c r="B151" s="1114"/>
      <c r="C151" s="45" t="s">
        <v>10</v>
      </c>
      <c r="D151" s="45" t="s">
        <v>11</v>
      </c>
      <c r="E151" s="45" t="s">
        <v>11</v>
      </c>
      <c r="F151" s="45" t="s">
        <v>11</v>
      </c>
    </row>
    <row r="152" spans="2:12" ht="16.5" thickBot="1" x14ac:dyDescent="0.3">
      <c r="B152" s="40" t="s">
        <v>19</v>
      </c>
      <c r="C152" s="48">
        <v>100</v>
      </c>
      <c r="D152" s="48">
        <v>0</v>
      </c>
      <c r="E152" s="48">
        <v>0</v>
      </c>
      <c r="F152" s="48">
        <v>0</v>
      </c>
    </row>
    <row r="153" spans="2:12" ht="16.5" thickBot="1" x14ac:dyDescent="0.3">
      <c r="B153" s="40" t="s">
        <v>20</v>
      </c>
      <c r="C153" s="48">
        <v>2334</v>
      </c>
      <c r="D153" s="48">
        <v>0</v>
      </c>
      <c r="E153" s="48">
        <v>0</v>
      </c>
      <c r="F153" s="48">
        <v>0</v>
      </c>
    </row>
    <row r="154" spans="2:12" ht="16.5" thickBot="1" x14ac:dyDescent="0.3">
      <c r="B154" s="40" t="s">
        <v>21</v>
      </c>
      <c r="C154" s="48">
        <f>C153/C152</f>
        <v>23.34</v>
      </c>
      <c r="D154" s="48" t="e">
        <f t="shared" ref="D154:F154" si="20">D153/D152</f>
        <v>#DIV/0!</v>
      </c>
      <c r="E154" s="48" t="e">
        <f t="shared" si="20"/>
        <v>#DIV/0!</v>
      </c>
      <c r="F154" s="48" t="e">
        <f t="shared" si="20"/>
        <v>#DIV/0!</v>
      </c>
    </row>
    <row r="155" spans="2:12" ht="16.5" thickBot="1" x14ac:dyDescent="0.3">
      <c r="B155" s="40" t="s">
        <v>22</v>
      </c>
      <c r="C155" s="74" t="s">
        <v>23</v>
      </c>
      <c r="D155" s="49">
        <f>D152/C152-1</f>
        <v>-1</v>
      </c>
      <c r="E155" s="49" t="e">
        <f t="shared" ref="E155:F157" si="21">E152/D152-1</f>
        <v>#DIV/0!</v>
      </c>
      <c r="F155" s="49" t="e">
        <f t="shared" si="21"/>
        <v>#DIV/0!</v>
      </c>
      <c r="H155" s="132"/>
      <c r="I155" s="132"/>
      <c r="J155" s="132"/>
      <c r="K155" s="132"/>
      <c r="L155" s="132"/>
    </row>
    <row r="156" spans="2:12" ht="16.5" thickBot="1" x14ac:dyDescent="0.3">
      <c r="B156" s="40" t="s">
        <v>24</v>
      </c>
      <c r="C156" s="74" t="s">
        <v>23</v>
      </c>
      <c r="D156" s="49">
        <f>D153/C153-1</f>
        <v>-1</v>
      </c>
      <c r="E156" s="49" t="e">
        <f t="shared" si="21"/>
        <v>#DIV/0!</v>
      </c>
      <c r="F156" s="49" t="e">
        <f t="shared" si="21"/>
        <v>#DIV/0!</v>
      </c>
    </row>
    <row r="157" spans="2:12" ht="16.5" thickBot="1" x14ac:dyDescent="0.3">
      <c r="B157" s="40" t="s">
        <v>25</v>
      </c>
      <c r="C157" s="74" t="s">
        <v>23</v>
      </c>
      <c r="D157" s="49" t="e">
        <f>D154/C154-1</f>
        <v>#DIV/0!</v>
      </c>
      <c r="E157" s="49" t="e">
        <f t="shared" si="21"/>
        <v>#DIV/0!</v>
      </c>
      <c r="F157" s="49" t="e">
        <f t="shared" si="21"/>
        <v>#DIV/0!</v>
      </c>
    </row>
    <row r="158" spans="2:12" ht="16.5" thickBot="1" x14ac:dyDescent="0.3">
      <c r="B158" s="1124" t="s">
        <v>673</v>
      </c>
      <c r="C158" s="1125"/>
      <c r="D158" s="1125"/>
      <c r="E158" s="1125"/>
      <c r="F158" s="1126"/>
    </row>
    <row r="159" spans="2:12" ht="15.6" customHeight="1" x14ac:dyDescent="0.25">
      <c r="B159" s="1113"/>
      <c r="C159" s="44">
        <v>2018</v>
      </c>
      <c r="D159" s="44">
        <v>2019</v>
      </c>
      <c r="E159" s="44">
        <v>2020</v>
      </c>
      <c r="F159" s="44">
        <v>2021</v>
      </c>
    </row>
    <row r="160" spans="2:12" ht="16.149999999999999" customHeight="1" thickBot="1" x14ac:dyDescent="0.3">
      <c r="B160" s="1114"/>
      <c r="C160" s="45" t="s">
        <v>10</v>
      </c>
      <c r="D160" s="45" t="s">
        <v>11</v>
      </c>
      <c r="E160" s="45" t="s">
        <v>11</v>
      </c>
      <c r="F160" s="45" t="s">
        <v>11</v>
      </c>
    </row>
    <row r="161" spans="2:6" ht="16.5" thickBot="1" x14ac:dyDescent="0.3">
      <c r="B161" s="50" t="s">
        <v>58</v>
      </c>
      <c r="C161" s="51"/>
      <c r="D161" s="51"/>
      <c r="E161" s="51"/>
      <c r="F161" s="51"/>
    </row>
    <row r="162" spans="2:6" ht="16.5" thickBot="1" x14ac:dyDescent="0.3">
      <c r="B162" s="50" t="s">
        <v>59</v>
      </c>
      <c r="C162" s="53">
        <f>C153</f>
        <v>2334</v>
      </c>
      <c r="D162" s="53">
        <f t="shared" ref="D162:F162" si="22">D153</f>
        <v>0</v>
      </c>
      <c r="E162" s="53">
        <f t="shared" si="22"/>
        <v>0</v>
      </c>
      <c r="F162" s="53">
        <f t="shared" si="22"/>
        <v>0</v>
      </c>
    </row>
    <row r="163" spans="2:6" ht="23.45" customHeight="1" thickBot="1" x14ac:dyDescent="0.3">
      <c r="B163" s="137" t="s">
        <v>40</v>
      </c>
      <c r="C163" s="53">
        <f>C162+C161</f>
        <v>2334</v>
      </c>
      <c r="D163" s="53">
        <f t="shared" ref="D163:F163" si="23">D162+D161</f>
        <v>0</v>
      </c>
      <c r="E163" s="53">
        <f t="shared" si="23"/>
        <v>0</v>
      </c>
      <c r="F163" s="53">
        <f t="shared" si="23"/>
        <v>0</v>
      </c>
    </row>
    <row r="164" spans="2:6" ht="16.5" thickBot="1" x14ac:dyDescent="0.3">
      <c r="B164" s="52"/>
      <c r="C164" s="53"/>
      <c r="D164" s="53"/>
      <c r="E164" s="53"/>
      <c r="F164" s="53"/>
    </row>
    <row r="165" spans="2:6" ht="16.5" thickBot="1" x14ac:dyDescent="0.3">
      <c r="B165" s="52"/>
      <c r="C165" s="53"/>
      <c r="D165" s="53"/>
      <c r="E165" s="53"/>
      <c r="F165" s="53"/>
    </row>
    <row r="166" spans="2:6" ht="44.25" customHeight="1" thickBot="1" x14ac:dyDescent="0.3">
      <c r="B166" s="37" t="s">
        <v>75</v>
      </c>
      <c r="C166" s="1115" t="s">
        <v>690</v>
      </c>
      <c r="D166" s="1116"/>
      <c r="E166" s="1116"/>
      <c r="F166" s="1117"/>
    </row>
    <row r="167" spans="2:6" ht="16.5" thickBot="1" x14ac:dyDescent="0.3">
      <c r="B167" s="1133" t="s">
        <v>76</v>
      </c>
      <c r="C167" s="1134"/>
      <c r="D167" s="1134"/>
      <c r="E167" s="1134"/>
      <c r="F167" s="1135"/>
    </row>
    <row r="168" spans="2:6" ht="16.5" thickBot="1" x14ac:dyDescent="0.3">
      <c r="B168" s="71" t="s">
        <v>691</v>
      </c>
      <c r="C168" s="134">
        <v>37</v>
      </c>
      <c r="D168" s="41" t="s">
        <v>114</v>
      </c>
      <c r="E168" s="41" t="s">
        <v>114</v>
      </c>
      <c r="F168" s="41" t="s">
        <v>114</v>
      </c>
    </row>
    <row r="169" spans="2:6" ht="32.25" thickBot="1" x14ac:dyDescent="0.3">
      <c r="B169" s="40" t="s">
        <v>692</v>
      </c>
      <c r="C169" s="134">
        <v>60</v>
      </c>
      <c r="D169" s="41" t="s">
        <v>114</v>
      </c>
      <c r="E169" s="41" t="s">
        <v>114</v>
      </c>
      <c r="F169" s="41" t="s">
        <v>114</v>
      </c>
    </row>
    <row r="170" spans="2:6" ht="16.5" thickBot="1" x14ac:dyDescent="0.3">
      <c r="B170" s="40"/>
      <c r="C170" s="41"/>
      <c r="D170" s="41"/>
      <c r="E170" s="41"/>
      <c r="F170" s="41"/>
    </row>
    <row r="171" spans="2:6" ht="16.5" thickBot="1" x14ac:dyDescent="0.3">
      <c r="B171" s="1522" t="s">
        <v>77</v>
      </c>
      <c r="C171" s="1523"/>
      <c r="D171" s="1523"/>
      <c r="E171" s="1523"/>
      <c r="F171" s="1524"/>
    </row>
    <row r="172" spans="2:6" ht="16.5" thickBot="1" x14ac:dyDescent="0.3">
      <c r="B172" s="1525" t="s">
        <v>70</v>
      </c>
      <c r="C172" s="1526"/>
      <c r="D172" s="1526"/>
      <c r="E172" s="1526"/>
      <c r="F172" s="1527"/>
    </row>
    <row r="173" spans="2:6" x14ac:dyDescent="0.25">
      <c r="B173" s="1113"/>
      <c r="C173" s="44">
        <v>2018</v>
      </c>
      <c r="D173" s="44">
        <v>2019</v>
      </c>
      <c r="E173" s="44">
        <v>2020</v>
      </c>
      <c r="F173" s="44">
        <v>2021</v>
      </c>
    </row>
    <row r="174" spans="2:6" ht="16.5" thickBot="1" x14ac:dyDescent="0.3">
      <c r="B174" s="1114"/>
      <c r="C174" s="45" t="s">
        <v>10</v>
      </c>
      <c r="D174" s="45" t="s">
        <v>11</v>
      </c>
      <c r="E174" s="45" t="s">
        <v>11</v>
      </c>
      <c r="F174" s="45" t="s">
        <v>11</v>
      </c>
    </row>
    <row r="175" spans="2:6" ht="16.5" thickBot="1" x14ac:dyDescent="0.3">
      <c r="B175" s="43" t="s">
        <v>16</v>
      </c>
      <c r="C175" s="1130" t="s">
        <v>693</v>
      </c>
      <c r="D175" s="1131"/>
      <c r="E175" s="1131"/>
      <c r="F175" s="1132"/>
    </row>
    <row r="176" spans="2:6" ht="36" customHeight="1" thickBot="1" x14ac:dyDescent="0.3">
      <c r="B176" s="40" t="s">
        <v>17</v>
      </c>
      <c r="C176" s="1115" t="s">
        <v>694</v>
      </c>
      <c r="D176" s="1116"/>
      <c r="E176" s="1116"/>
      <c r="F176" s="1117"/>
    </row>
    <row r="177" spans="2:6" ht="16.5" thickBot="1" x14ac:dyDescent="0.3">
      <c r="B177" s="40" t="s">
        <v>18</v>
      </c>
      <c r="C177" s="1130" t="s">
        <v>650</v>
      </c>
      <c r="D177" s="1131"/>
      <c r="E177" s="1131"/>
      <c r="F177" s="1132"/>
    </row>
    <row r="178" spans="2:6" x14ac:dyDescent="0.25">
      <c r="B178" s="1113"/>
      <c r="C178" s="44">
        <v>2018</v>
      </c>
      <c r="D178" s="44">
        <v>2019</v>
      </c>
      <c r="E178" s="44">
        <v>2020</v>
      </c>
      <c r="F178" s="44">
        <v>2021</v>
      </c>
    </row>
    <row r="179" spans="2:6" ht="16.5" thickBot="1" x14ac:dyDescent="0.3">
      <c r="B179" s="1114"/>
      <c r="C179" s="45" t="s">
        <v>10</v>
      </c>
      <c r="D179" s="45" t="s">
        <v>11</v>
      </c>
      <c r="E179" s="45" t="s">
        <v>11</v>
      </c>
      <c r="F179" s="45" t="s">
        <v>11</v>
      </c>
    </row>
    <row r="180" spans="2:6" ht="16.5" thickBot="1" x14ac:dyDescent="0.3">
      <c r="B180" s="40" t="s">
        <v>19</v>
      </c>
      <c r="C180" s="48">
        <f>32+5</f>
        <v>37</v>
      </c>
      <c r="D180" s="48">
        <f>31+5</f>
        <v>36</v>
      </c>
      <c r="E180" s="48">
        <f>30+5</f>
        <v>35</v>
      </c>
      <c r="F180" s="48">
        <f>30+5</f>
        <v>35</v>
      </c>
    </row>
    <row r="181" spans="2:6" ht="16.5" thickBot="1" x14ac:dyDescent="0.3">
      <c r="B181" s="40" t="s">
        <v>20</v>
      </c>
      <c r="C181" s="48">
        <v>17950</v>
      </c>
      <c r="D181" s="48">
        <f>71000*0.25</f>
        <v>17750</v>
      </c>
      <c r="E181" s="48">
        <f>72000*0.25</f>
        <v>18000</v>
      </c>
      <c r="F181" s="48">
        <f>72500*0.25</f>
        <v>18125</v>
      </c>
    </row>
    <row r="182" spans="2:6" ht="16.5" thickBot="1" x14ac:dyDescent="0.3">
      <c r="B182" s="40" t="s">
        <v>21</v>
      </c>
      <c r="C182" s="48">
        <f>C181/C180</f>
        <v>485.13513513513516</v>
      </c>
      <c r="D182" s="48">
        <f t="shared" ref="D182:F182" si="24">D181/D180</f>
        <v>493.05555555555554</v>
      </c>
      <c r="E182" s="48">
        <f t="shared" si="24"/>
        <v>514.28571428571433</v>
      </c>
      <c r="F182" s="48">
        <f t="shared" si="24"/>
        <v>517.85714285714289</v>
      </c>
    </row>
    <row r="183" spans="2:6" ht="16.5" thickBot="1" x14ac:dyDescent="0.3">
      <c r="B183" s="40" t="s">
        <v>22</v>
      </c>
      <c r="C183" s="74"/>
      <c r="D183" s="49">
        <f>D180/C180-1</f>
        <v>-2.7027027027026973E-2</v>
      </c>
      <c r="E183" s="49">
        <f t="shared" ref="E183:F185" si="25">E180/D180-1</f>
        <v>-2.777777777777779E-2</v>
      </c>
      <c r="F183" s="49">
        <f t="shared" si="25"/>
        <v>0</v>
      </c>
    </row>
    <row r="184" spans="2:6" ht="16.5" thickBot="1" x14ac:dyDescent="0.3">
      <c r="B184" s="40" t="s">
        <v>24</v>
      </c>
      <c r="C184" s="74"/>
      <c r="D184" s="49">
        <f>D181/C181-1</f>
        <v>-1.1142061281337101E-2</v>
      </c>
      <c r="E184" s="49">
        <f t="shared" si="25"/>
        <v>1.4084507042253502E-2</v>
      </c>
      <c r="F184" s="49">
        <f t="shared" si="25"/>
        <v>6.9444444444444198E-3</v>
      </c>
    </row>
    <row r="185" spans="2:6" ht="16.5" thickBot="1" x14ac:dyDescent="0.3">
      <c r="B185" s="40" t="s">
        <v>25</v>
      </c>
      <c r="C185" s="74"/>
      <c r="D185" s="49">
        <f>D182/C182-1</f>
        <v>1.6326214794181393E-2</v>
      </c>
      <c r="E185" s="49">
        <f t="shared" si="25"/>
        <v>4.305835010060366E-2</v>
      </c>
      <c r="F185" s="49">
        <f t="shared" si="25"/>
        <v>6.9444444444444198E-3</v>
      </c>
    </row>
    <row r="186" spans="2:6" x14ac:dyDescent="0.25">
      <c r="B186" s="1113"/>
      <c r="C186" s="44">
        <v>2018</v>
      </c>
      <c r="D186" s="44">
        <v>2019</v>
      </c>
      <c r="E186" s="44">
        <v>2020</v>
      </c>
      <c r="F186" s="44">
        <v>2021</v>
      </c>
    </row>
    <row r="187" spans="2:6" ht="16.5" thickBot="1" x14ac:dyDescent="0.3">
      <c r="B187" s="1114"/>
      <c r="C187" s="45" t="s">
        <v>10</v>
      </c>
      <c r="D187" s="45" t="s">
        <v>11</v>
      </c>
      <c r="E187" s="45" t="s">
        <v>11</v>
      </c>
      <c r="F187" s="45" t="s">
        <v>11</v>
      </c>
    </row>
    <row r="188" spans="2:6" ht="16.5" thickBot="1" x14ac:dyDescent="0.3">
      <c r="B188" s="1124" t="s">
        <v>686</v>
      </c>
      <c r="C188" s="1125"/>
      <c r="D188" s="1125"/>
      <c r="E188" s="1125"/>
      <c r="F188" s="1126"/>
    </row>
    <row r="189" spans="2:6" x14ac:dyDescent="0.25">
      <c r="B189" s="1113"/>
      <c r="C189" s="44">
        <v>2018</v>
      </c>
      <c r="D189" s="44">
        <v>2019</v>
      </c>
      <c r="E189" s="44">
        <v>2020</v>
      </c>
      <c r="F189" s="44">
        <v>2021</v>
      </c>
    </row>
    <row r="190" spans="2:6" ht="16.5" thickBot="1" x14ac:dyDescent="0.3">
      <c r="B190" s="1114"/>
      <c r="C190" s="45" t="s">
        <v>10</v>
      </c>
      <c r="D190" s="45" t="s">
        <v>11</v>
      </c>
      <c r="E190" s="45" t="s">
        <v>11</v>
      </c>
      <c r="F190" s="45" t="s">
        <v>11</v>
      </c>
    </row>
    <row r="191" spans="2:6" ht="16.5" thickBot="1" x14ac:dyDescent="0.3">
      <c r="B191" s="50" t="s">
        <v>26</v>
      </c>
      <c r="C191" s="51">
        <v>13225</v>
      </c>
      <c r="D191" s="51">
        <f t="shared" ref="D191:F191" si="26">D181*0.74</f>
        <v>13135</v>
      </c>
      <c r="E191" s="51">
        <f t="shared" si="26"/>
        <v>13320</v>
      </c>
      <c r="F191" s="51">
        <f t="shared" si="26"/>
        <v>13412.5</v>
      </c>
    </row>
    <row r="192" spans="2:6" ht="16.5" thickBot="1" x14ac:dyDescent="0.3">
      <c r="B192" s="50" t="s">
        <v>28</v>
      </c>
      <c r="C192" s="51">
        <v>2150</v>
      </c>
      <c r="D192" s="51">
        <f t="shared" ref="D192:F192" si="27">D181*0.12</f>
        <v>2130</v>
      </c>
      <c r="E192" s="51">
        <f t="shared" si="27"/>
        <v>2160</v>
      </c>
      <c r="F192" s="51">
        <f t="shared" si="27"/>
        <v>2175</v>
      </c>
    </row>
    <row r="193" spans="2:6" ht="16.5" thickBot="1" x14ac:dyDescent="0.3">
      <c r="B193" s="50" t="s">
        <v>30</v>
      </c>
      <c r="C193" s="53">
        <v>2515</v>
      </c>
      <c r="D193" s="53">
        <f t="shared" ref="D193:F193" si="28">D181*0.14-80</f>
        <v>2405.0000000000005</v>
      </c>
      <c r="E193" s="53">
        <f t="shared" si="28"/>
        <v>2440.0000000000005</v>
      </c>
      <c r="F193" s="53">
        <f t="shared" si="28"/>
        <v>2457.5000000000005</v>
      </c>
    </row>
    <row r="194" spans="2:6" ht="16.5" thickBot="1" x14ac:dyDescent="0.3">
      <c r="B194" s="50" t="s">
        <v>32</v>
      </c>
      <c r="C194" s="53"/>
      <c r="D194" s="53"/>
      <c r="E194" s="53"/>
      <c r="F194" s="53"/>
    </row>
    <row r="195" spans="2:6" ht="16.5" thickBot="1" x14ac:dyDescent="0.3">
      <c r="B195" s="50" t="s">
        <v>34</v>
      </c>
      <c r="C195" s="53"/>
      <c r="D195" s="53"/>
      <c r="E195" s="53"/>
      <c r="F195" s="53"/>
    </row>
    <row r="196" spans="2:6" ht="16.5" thickBot="1" x14ac:dyDescent="0.3">
      <c r="B196" s="50" t="s">
        <v>36</v>
      </c>
      <c r="C196" s="53"/>
      <c r="D196" s="53"/>
      <c r="E196" s="53"/>
      <c r="F196" s="53"/>
    </row>
    <row r="197" spans="2:6" ht="16.5" thickBot="1" x14ac:dyDescent="0.3">
      <c r="B197" s="50" t="s">
        <v>38</v>
      </c>
      <c r="C197" s="53">
        <v>60</v>
      </c>
      <c r="D197" s="53">
        <v>80</v>
      </c>
      <c r="E197" s="53">
        <v>80</v>
      </c>
      <c r="F197" s="53">
        <v>80</v>
      </c>
    </row>
    <row r="198" spans="2:6" ht="32.25" thickBot="1" x14ac:dyDescent="0.3">
      <c r="B198" s="135" t="s">
        <v>71</v>
      </c>
      <c r="C198" s="136">
        <f>C197+C196+C195+C194+C193+C192+C191</f>
        <v>17950</v>
      </c>
      <c r="D198" s="136">
        <f>D197+D196+D195+D194+D193+D192+D191</f>
        <v>17750</v>
      </c>
      <c r="E198" s="136">
        <f>E197+E196+E195+E194+E193+E192+E191</f>
        <v>18000</v>
      </c>
      <c r="F198" s="136">
        <f>F197+F196+F195+F194+F193+F192+F191</f>
        <v>18125</v>
      </c>
    </row>
    <row r="199" spans="2:6" ht="16.5" thickBot="1" x14ac:dyDescent="0.3">
      <c r="B199" s="46" t="s">
        <v>41</v>
      </c>
      <c r="C199" s="47">
        <f>IF(C198-C181=0,0,"Error")</f>
        <v>0</v>
      </c>
      <c r="D199" s="47">
        <f>IF(D198-D181=0,0,"Error")</f>
        <v>0</v>
      </c>
      <c r="E199" s="47">
        <f>IF(E198-E181=0,0,"Error")</f>
        <v>0</v>
      </c>
      <c r="F199" s="47">
        <f>IF(F198-F181=0,0,"Error")</f>
        <v>0</v>
      </c>
    </row>
    <row r="200" spans="2:6" ht="16.5" thickBot="1" x14ac:dyDescent="0.3">
      <c r="B200" s="138"/>
      <c r="C200" s="139"/>
      <c r="D200" s="139"/>
      <c r="E200" s="139"/>
      <c r="F200" s="47"/>
    </row>
    <row r="201" spans="2:6" ht="31.15" customHeight="1" thickBot="1" x14ac:dyDescent="0.3">
      <c r="B201" s="43" t="s">
        <v>42</v>
      </c>
      <c r="C201" s="1115" t="s">
        <v>695</v>
      </c>
      <c r="D201" s="1116"/>
      <c r="E201" s="1116"/>
      <c r="F201" s="1117"/>
    </row>
    <row r="202" spans="2:6" ht="31.9" customHeight="1" thickBot="1" x14ac:dyDescent="0.3">
      <c r="B202" s="40" t="s">
        <v>17</v>
      </c>
      <c r="C202" s="1115" t="s">
        <v>696</v>
      </c>
      <c r="D202" s="1116"/>
      <c r="E202" s="1116"/>
      <c r="F202" s="1117"/>
    </row>
    <row r="203" spans="2:6" ht="16.5" thickBot="1" x14ac:dyDescent="0.3">
      <c r="B203" s="40" t="s">
        <v>18</v>
      </c>
      <c r="C203" s="1130">
        <v>0</v>
      </c>
      <c r="D203" s="1131"/>
      <c r="E203" s="1131"/>
      <c r="F203" s="1132"/>
    </row>
    <row r="204" spans="2:6" x14ac:dyDescent="0.25">
      <c r="B204" s="1113"/>
      <c r="C204" s="44">
        <v>2018</v>
      </c>
      <c r="D204" s="44">
        <v>2019</v>
      </c>
      <c r="E204" s="44">
        <v>2020</v>
      </c>
      <c r="F204" s="44">
        <v>2021</v>
      </c>
    </row>
    <row r="205" spans="2:6" ht="16.5" thickBot="1" x14ac:dyDescent="0.3">
      <c r="B205" s="1114"/>
      <c r="C205" s="45" t="s">
        <v>10</v>
      </c>
      <c r="D205" s="45" t="s">
        <v>11</v>
      </c>
      <c r="E205" s="45" t="s">
        <v>11</v>
      </c>
      <c r="F205" s="45" t="s">
        <v>11</v>
      </c>
    </row>
    <row r="206" spans="2:6" ht="16.5" thickBot="1" x14ac:dyDescent="0.3">
      <c r="B206" s="40" t="s">
        <v>19</v>
      </c>
      <c r="C206" s="48">
        <v>60</v>
      </c>
      <c r="D206" s="48">
        <v>64</v>
      </c>
      <c r="E206" s="48">
        <v>66</v>
      </c>
      <c r="F206" s="48">
        <v>68</v>
      </c>
    </row>
    <row r="207" spans="2:6" ht="16.5" thickBot="1" x14ac:dyDescent="0.3">
      <c r="B207" s="40" t="s">
        <v>20</v>
      </c>
      <c r="C207" s="48">
        <f>17950</f>
        <v>17950</v>
      </c>
      <c r="D207" s="48">
        <v>17750</v>
      </c>
      <c r="E207" s="48">
        <v>18000</v>
      </c>
      <c r="F207" s="48">
        <v>18125</v>
      </c>
    </row>
    <row r="208" spans="2:6" ht="16.5" thickBot="1" x14ac:dyDescent="0.3">
      <c r="B208" s="40" t="s">
        <v>21</v>
      </c>
      <c r="C208" s="48">
        <f>C207/C206</f>
        <v>299.16666666666669</v>
      </c>
      <c r="D208" s="48">
        <f t="shared" ref="D208:F208" si="29">D207/D206</f>
        <v>277.34375</v>
      </c>
      <c r="E208" s="48">
        <f t="shared" si="29"/>
        <v>272.72727272727275</v>
      </c>
      <c r="F208" s="48">
        <f t="shared" si="29"/>
        <v>266.54411764705884</v>
      </c>
    </row>
    <row r="209" spans="2:6" ht="16.5" thickBot="1" x14ac:dyDescent="0.3">
      <c r="B209" s="40" t="s">
        <v>22</v>
      </c>
      <c r="C209" s="74"/>
      <c r="D209" s="49">
        <f>D206/C206-1</f>
        <v>6.6666666666666652E-2</v>
      </c>
      <c r="E209" s="49">
        <f t="shared" ref="E209:F211" si="30">E206/D206-1</f>
        <v>3.125E-2</v>
      </c>
      <c r="F209" s="49">
        <f t="shared" si="30"/>
        <v>3.0303030303030276E-2</v>
      </c>
    </row>
    <row r="210" spans="2:6" ht="16.5" thickBot="1" x14ac:dyDescent="0.3">
      <c r="B210" s="40" t="s">
        <v>24</v>
      </c>
      <c r="C210" s="74"/>
      <c r="D210" s="49">
        <f>D207/C207-1</f>
        <v>-1.1142061281337101E-2</v>
      </c>
      <c r="E210" s="49">
        <f t="shared" si="30"/>
        <v>1.4084507042253502E-2</v>
      </c>
      <c r="F210" s="49">
        <f t="shared" si="30"/>
        <v>6.9444444444444198E-3</v>
      </c>
    </row>
    <row r="211" spans="2:6" ht="16.5" thickBot="1" x14ac:dyDescent="0.3">
      <c r="B211" s="40" t="s">
        <v>25</v>
      </c>
      <c r="C211" s="74"/>
      <c r="D211" s="49">
        <f>D208/C208-1</f>
        <v>-7.2945682451253546E-2</v>
      </c>
      <c r="E211" s="49">
        <f t="shared" si="30"/>
        <v>-1.6645326504481361E-2</v>
      </c>
      <c r="F211" s="49">
        <f t="shared" si="30"/>
        <v>-2.2671568627451011E-2</v>
      </c>
    </row>
    <row r="212" spans="2:6" x14ac:dyDescent="0.25">
      <c r="B212" s="1113"/>
      <c r="C212" s="44">
        <v>2018</v>
      </c>
      <c r="D212" s="44">
        <v>2019</v>
      </c>
      <c r="E212" s="44">
        <v>2020</v>
      </c>
      <c r="F212" s="44">
        <v>2021</v>
      </c>
    </row>
    <row r="213" spans="2:6" ht="16.5" thickBot="1" x14ac:dyDescent="0.3">
      <c r="B213" s="1114"/>
      <c r="C213" s="45" t="s">
        <v>10</v>
      </c>
      <c r="D213" s="45" t="s">
        <v>11</v>
      </c>
      <c r="E213" s="45" t="s">
        <v>11</v>
      </c>
      <c r="F213" s="45" t="s">
        <v>11</v>
      </c>
    </row>
    <row r="214" spans="2:6" ht="16.5" thickBot="1" x14ac:dyDescent="0.3">
      <c r="B214" s="1124" t="s">
        <v>686</v>
      </c>
      <c r="C214" s="1125"/>
      <c r="D214" s="1125"/>
      <c r="E214" s="1125"/>
      <c r="F214" s="1126"/>
    </row>
    <row r="215" spans="2:6" x14ac:dyDescent="0.25">
      <c r="B215" s="1113"/>
      <c r="C215" s="44">
        <v>2018</v>
      </c>
      <c r="D215" s="44">
        <v>2019</v>
      </c>
      <c r="E215" s="44">
        <v>2020</v>
      </c>
      <c r="F215" s="44">
        <v>2021</v>
      </c>
    </row>
    <row r="216" spans="2:6" ht="16.5" thickBot="1" x14ac:dyDescent="0.3">
      <c r="B216" s="1114"/>
      <c r="C216" s="45" t="s">
        <v>10</v>
      </c>
      <c r="D216" s="45" t="s">
        <v>11</v>
      </c>
      <c r="E216" s="45" t="s">
        <v>11</v>
      </c>
      <c r="F216" s="45" t="s">
        <v>11</v>
      </c>
    </row>
    <row r="217" spans="2:6" ht="16.5" thickBot="1" x14ac:dyDescent="0.3">
      <c r="B217" s="50" t="s">
        <v>26</v>
      </c>
      <c r="C217" s="51">
        <v>13225</v>
      </c>
      <c r="D217" s="51">
        <f t="shared" ref="D217:F217" si="31">D207*0.74</f>
        <v>13135</v>
      </c>
      <c r="E217" s="51">
        <f t="shared" si="31"/>
        <v>13320</v>
      </c>
      <c r="F217" s="51">
        <f t="shared" si="31"/>
        <v>13412.5</v>
      </c>
    </row>
    <row r="218" spans="2:6" ht="16.5" thickBot="1" x14ac:dyDescent="0.3">
      <c r="B218" s="50" t="s">
        <v>28</v>
      </c>
      <c r="C218" s="51">
        <v>2150</v>
      </c>
      <c r="D218" s="51">
        <f t="shared" ref="D218:F218" si="32">D207*0.12</f>
        <v>2130</v>
      </c>
      <c r="E218" s="51">
        <f t="shared" si="32"/>
        <v>2160</v>
      </c>
      <c r="F218" s="51">
        <f t="shared" si="32"/>
        <v>2175</v>
      </c>
    </row>
    <row r="219" spans="2:6" ht="16.5" thickBot="1" x14ac:dyDescent="0.3">
      <c r="B219" s="50" t="s">
        <v>30</v>
      </c>
      <c r="C219" s="53">
        <v>2515</v>
      </c>
      <c r="D219" s="53">
        <f t="shared" ref="D219:F219" si="33">D207*0.14</f>
        <v>2485.0000000000005</v>
      </c>
      <c r="E219" s="53">
        <f t="shared" si="33"/>
        <v>2520.0000000000005</v>
      </c>
      <c r="F219" s="53">
        <f t="shared" si="33"/>
        <v>2537.5000000000005</v>
      </c>
    </row>
    <row r="220" spans="2:6" ht="16.5" thickBot="1" x14ac:dyDescent="0.3">
      <c r="B220" s="50" t="s">
        <v>32</v>
      </c>
      <c r="C220" s="53"/>
      <c r="D220" s="53"/>
      <c r="E220" s="53"/>
      <c r="F220" s="53"/>
    </row>
    <row r="221" spans="2:6" ht="16.5" thickBot="1" x14ac:dyDescent="0.3">
      <c r="B221" s="50" t="s">
        <v>34</v>
      </c>
      <c r="C221" s="53"/>
      <c r="D221" s="53"/>
      <c r="E221" s="53"/>
      <c r="F221" s="53"/>
    </row>
    <row r="222" spans="2:6" ht="16.5" thickBot="1" x14ac:dyDescent="0.3">
      <c r="B222" s="50" t="s">
        <v>36</v>
      </c>
      <c r="C222" s="53"/>
      <c r="D222" s="53"/>
      <c r="E222" s="53"/>
      <c r="F222" s="53"/>
    </row>
    <row r="223" spans="2:6" ht="16.5" thickBot="1" x14ac:dyDescent="0.3">
      <c r="B223" s="50" t="s">
        <v>38</v>
      </c>
      <c r="C223" s="53">
        <v>60</v>
      </c>
      <c r="D223" s="53">
        <v>0</v>
      </c>
      <c r="E223" s="53">
        <v>0</v>
      </c>
      <c r="F223" s="53">
        <v>0</v>
      </c>
    </row>
    <row r="224" spans="2:6" ht="32.25" thickBot="1" x14ac:dyDescent="0.3">
      <c r="B224" s="135" t="s">
        <v>71</v>
      </c>
      <c r="C224" s="136">
        <f>C223+C222+C221+C220+C219+C218+C217</f>
        <v>17950</v>
      </c>
      <c r="D224" s="136">
        <f>D223+D222+D221+D220+D219+D218+D217</f>
        <v>17750</v>
      </c>
      <c r="E224" s="136">
        <f>E223+E222+E221+E220+E219+E218+E217</f>
        <v>18000</v>
      </c>
      <c r="F224" s="136">
        <f>F223+F222+F221+F220+F219+F218+F217</f>
        <v>18125</v>
      </c>
    </row>
    <row r="225" spans="2:6" ht="16.5" thickBot="1" x14ac:dyDescent="0.3">
      <c r="B225" s="46" t="s">
        <v>41</v>
      </c>
      <c r="C225" s="47">
        <f>IF(C224-C207=0,0,"Error")</f>
        <v>0</v>
      </c>
      <c r="D225" s="47">
        <f>IF(D224-D207=0,0,"Error")</f>
        <v>0</v>
      </c>
      <c r="E225" s="47">
        <f>IF(E224-E207=0,0,"Error")</f>
        <v>0</v>
      </c>
      <c r="F225" s="47">
        <f>IF(F224-F207=0,0,"Error")</f>
        <v>0</v>
      </c>
    </row>
    <row r="226" spans="2:6" ht="16.5" thickBot="1" x14ac:dyDescent="0.3">
      <c r="B226" s="1127" t="s">
        <v>63</v>
      </c>
      <c r="C226" s="1128"/>
      <c r="D226" s="1128"/>
      <c r="E226" s="1128"/>
      <c r="F226" s="1129"/>
    </row>
    <row r="227" spans="2:6" ht="16.5" thickBot="1" x14ac:dyDescent="0.3">
      <c r="B227" s="1127" t="s">
        <v>56</v>
      </c>
      <c r="C227" s="1128"/>
      <c r="D227" s="1128"/>
      <c r="E227" s="1128"/>
      <c r="F227" s="1129"/>
    </row>
    <row r="228" spans="2:6" ht="16.5" thickBot="1" x14ac:dyDescent="0.3">
      <c r="B228" s="133" t="s">
        <v>61</v>
      </c>
      <c r="C228" s="1141" t="s">
        <v>674</v>
      </c>
      <c r="D228" s="1142"/>
      <c r="E228" s="1142"/>
      <c r="F228" s="1143"/>
    </row>
    <row r="229" spans="2:6" ht="16.5" thickBot="1" x14ac:dyDescent="0.3">
      <c r="B229" s="43" t="s">
        <v>16</v>
      </c>
      <c r="C229" s="1141" t="s">
        <v>675</v>
      </c>
      <c r="D229" s="1142"/>
      <c r="E229" s="1142"/>
      <c r="F229" s="1143"/>
    </row>
    <row r="230" spans="2:6" ht="16.5" thickBot="1" x14ac:dyDescent="0.3">
      <c r="B230" s="40" t="s">
        <v>17</v>
      </c>
      <c r="C230" s="1141" t="str">
        <f>C51</f>
        <v>Blerje pajisje informatike për përmirësimin e cilësisë së punës</v>
      </c>
      <c r="D230" s="1142"/>
      <c r="E230" s="1142"/>
      <c r="F230" s="1143"/>
    </row>
    <row r="231" spans="2:6" ht="16.5" thickBot="1" x14ac:dyDescent="0.3">
      <c r="B231" s="40" t="s">
        <v>18</v>
      </c>
      <c r="C231" s="1141" t="s">
        <v>151</v>
      </c>
      <c r="D231" s="1142"/>
      <c r="E231" s="1142"/>
      <c r="F231" s="1143"/>
    </row>
    <row r="232" spans="2:6" x14ac:dyDescent="0.25">
      <c r="B232" s="1113"/>
      <c r="C232" s="44">
        <v>2018</v>
      </c>
      <c r="D232" s="44">
        <v>2019</v>
      </c>
      <c r="E232" s="44">
        <v>2020</v>
      </c>
      <c r="F232" s="44">
        <v>2021</v>
      </c>
    </row>
    <row r="233" spans="2:6" ht="16.5" thickBot="1" x14ac:dyDescent="0.3">
      <c r="B233" s="1114"/>
      <c r="C233" s="45" t="s">
        <v>10</v>
      </c>
      <c r="D233" s="45" t="s">
        <v>11</v>
      </c>
      <c r="E233" s="45" t="s">
        <v>11</v>
      </c>
      <c r="F233" s="45" t="s">
        <v>11</v>
      </c>
    </row>
    <row r="234" spans="2:6" ht="16.5" thickBot="1" x14ac:dyDescent="0.3">
      <c r="B234" s="40" t="s">
        <v>19</v>
      </c>
      <c r="C234" s="48">
        <v>10</v>
      </c>
      <c r="D234" s="48">
        <v>15</v>
      </c>
      <c r="E234" s="48">
        <v>20</v>
      </c>
      <c r="F234" s="48">
        <v>25</v>
      </c>
    </row>
    <row r="235" spans="2:6" ht="16.5" thickBot="1" x14ac:dyDescent="0.3">
      <c r="B235" s="40" t="s">
        <v>20</v>
      </c>
      <c r="C235" s="48">
        <v>200</v>
      </c>
      <c r="D235" s="48">
        <v>200</v>
      </c>
      <c r="E235" s="48">
        <v>200</v>
      </c>
      <c r="F235" s="48">
        <v>200</v>
      </c>
    </row>
    <row r="236" spans="2:6" ht="16.5" thickBot="1" x14ac:dyDescent="0.3">
      <c r="B236" s="40" t="s">
        <v>21</v>
      </c>
      <c r="C236" s="48">
        <f>C235/C234</f>
        <v>20</v>
      </c>
      <c r="D236" s="48">
        <f t="shared" ref="D236:F236" si="34">D235/D234</f>
        <v>13.333333333333334</v>
      </c>
      <c r="E236" s="48">
        <f t="shared" si="34"/>
        <v>10</v>
      </c>
      <c r="F236" s="48">
        <f t="shared" si="34"/>
        <v>8</v>
      </c>
    </row>
    <row r="237" spans="2:6" ht="16.5" thickBot="1" x14ac:dyDescent="0.3">
      <c r="B237" s="40" t="s">
        <v>22</v>
      </c>
      <c r="C237" s="74" t="s">
        <v>23</v>
      </c>
      <c r="D237" s="49">
        <f>D234/C234-1</f>
        <v>0.5</v>
      </c>
      <c r="E237" s="49">
        <f t="shared" ref="E237:F239" si="35">E234/D234-1</f>
        <v>0.33333333333333326</v>
      </c>
      <c r="F237" s="49">
        <f t="shared" si="35"/>
        <v>0.25</v>
      </c>
    </row>
    <row r="238" spans="2:6" ht="16.5" thickBot="1" x14ac:dyDescent="0.3">
      <c r="B238" s="40" t="s">
        <v>24</v>
      </c>
      <c r="C238" s="74" t="s">
        <v>23</v>
      </c>
      <c r="D238" s="49">
        <f>D235/C235-1</f>
        <v>0</v>
      </c>
      <c r="E238" s="49">
        <f t="shared" si="35"/>
        <v>0</v>
      </c>
      <c r="F238" s="49">
        <f t="shared" si="35"/>
        <v>0</v>
      </c>
    </row>
    <row r="239" spans="2:6" ht="16.5" thickBot="1" x14ac:dyDescent="0.3">
      <c r="B239" s="40" t="s">
        <v>25</v>
      </c>
      <c r="C239" s="74" t="s">
        <v>23</v>
      </c>
      <c r="D239" s="49">
        <f>D236/C236-1</f>
        <v>-0.33333333333333326</v>
      </c>
      <c r="E239" s="49">
        <f t="shared" si="35"/>
        <v>-0.25</v>
      </c>
      <c r="F239" s="49">
        <f t="shared" si="35"/>
        <v>-0.19999999999999996</v>
      </c>
    </row>
    <row r="240" spans="2:6" ht="16.5" thickBot="1" x14ac:dyDescent="0.3">
      <c r="B240" s="1124" t="s">
        <v>673</v>
      </c>
      <c r="C240" s="1125"/>
      <c r="D240" s="1125"/>
      <c r="E240" s="1125"/>
      <c r="F240" s="1126"/>
    </row>
    <row r="241" spans="2:6" x14ac:dyDescent="0.25">
      <c r="B241" s="1113"/>
      <c r="C241" s="44">
        <v>2018</v>
      </c>
      <c r="D241" s="44">
        <v>2019</v>
      </c>
      <c r="E241" s="44">
        <v>2020</v>
      </c>
      <c r="F241" s="44">
        <v>2021</v>
      </c>
    </row>
    <row r="242" spans="2:6" ht="16.5" thickBot="1" x14ac:dyDescent="0.3">
      <c r="B242" s="1114"/>
      <c r="C242" s="45" t="s">
        <v>10</v>
      </c>
      <c r="D242" s="45" t="s">
        <v>11</v>
      </c>
      <c r="E242" s="45" t="s">
        <v>11</v>
      </c>
      <c r="F242" s="45" t="s">
        <v>11</v>
      </c>
    </row>
    <row r="243" spans="2:6" ht="16.5" thickBot="1" x14ac:dyDescent="0.3">
      <c r="B243" s="50" t="s">
        <v>58</v>
      </c>
      <c r="C243" s="51"/>
      <c r="D243" s="51"/>
      <c r="E243" s="51"/>
      <c r="F243" s="51"/>
    </row>
    <row r="244" spans="2:6" ht="16.5" thickBot="1" x14ac:dyDescent="0.3">
      <c r="B244" s="50" t="s">
        <v>59</v>
      </c>
      <c r="C244" s="53">
        <f>C235</f>
        <v>200</v>
      </c>
      <c r="D244" s="53">
        <f t="shared" ref="D244:F244" si="36">D235</f>
        <v>200</v>
      </c>
      <c r="E244" s="53">
        <f t="shared" si="36"/>
        <v>200</v>
      </c>
      <c r="F244" s="53">
        <f t="shared" si="36"/>
        <v>200</v>
      </c>
    </row>
    <row r="245" spans="2:6" ht="16.5" thickBot="1" x14ac:dyDescent="0.3">
      <c r="B245" s="52" t="s">
        <v>40</v>
      </c>
      <c r="C245" s="53">
        <f>C244+C243</f>
        <v>200</v>
      </c>
      <c r="D245" s="53">
        <f t="shared" ref="D245:F245" si="37">D244+D243</f>
        <v>200</v>
      </c>
      <c r="E245" s="53">
        <f t="shared" si="37"/>
        <v>200</v>
      </c>
      <c r="F245" s="53">
        <f t="shared" si="37"/>
        <v>200</v>
      </c>
    </row>
    <row r="246" spans="2:6" ht="16.5" thickBot="1" x14ac:dyDescent="0.3">
      <c r="B246" s="1127" t="s">
        <v>63</v>
      </c>
      <c r="C246" s="1128"/>
      <c r="D246" s="1128"/>
      <c r="E246" s="1128"/>
      <c r="F246" s="1129"/>
    </row>
    <row r="247" spans="2:6" ht="16.5" thickBot="1" x14ac:dyDescent="0.3">
      <c r="B247" s="1127" t="s">
        <v>64</v>
      </c>
      <c r="C247" s="1128"/>
      <c r="D247" s="1128"/>
      <c r="E247" s="1128"/>
      <c r="F247" s="1129"/>
    </row>
    <row r="248" spans="2:6" ht="16.5" thickBot="1" x14ac:dyDescent="0.3">
      <c r="B248" s="133" t="s">
        <v>61</v>
      </c>
      <c r="C248" s="1141" t="str">
        <f>C72</f>
        <v>M770032</v>
      </c>
      <c r="D248" s="1142"/>
      <c r="E248" s="1142"/>
      <c r="F248" s="1143"/>
    </row>
    <row r="249" spans="2:6" ht="16.5" thickBot="1" x14ac:dyDescent="0.3">
      <c r="B249" s="43" t="s">
        <v>16</v>
      </c>
      <c r="C249" s="1141" t="str">
        <f t="shared" ref="C249:C251" si="38">C73</f>
        <v>Punime te brendshme rifinitura</v>
      </c>
      <c r="D249" s="1142"/>
      <c r="E249" s="1142"/>
      <c r="F249" s="1143"/>
    </row>
    <row r="250" spans="2:6" ht="16.5" thickBot="1" x14ac:dyDescent="0.3">
      <c r="B250" s="40" t="s">
        <v>17</v>
      </c>
      <c r="C250" s="1141" t="str">
        <f t="shared" si="38"/>
        <v>Riparime të pjesshme dhe punime të brendshme të zyrave të godinës</v>
      </c>
      <c r="D250" s="1142"/>
      <c r="E250" s="1142"/>
      <c r="F250" s="1143"/>
    </row>
    <row r="251" spans="2:6" ht="16.5" thickBot="1" x14ac:dyDescent="0.3">
      <c r="B251" s="40" t="s">
        <v>18</v>
      </c>
      <c r="C251" s="1141" t="str">
        <f t="shared" si="38"/>
        <v>cope</v>
      </c>
      <c r="D251" s="1142"/>
      <c r="E251" s="1142"/>
      <c r="F251" s="1143"/>
    </row>
    <row r="252" spans="2:6" x14ac:dyDescent="0.25">
      <c r="B252" s="1113"/>
      <c r="C252" s="44">
        <v>2018</v>
      </c>
      <c r="D252" s="44">
        <v>2019</v>
      </c>
      <c r="E252" s="44">
        <v>2020</v>
      </c>
      <c r="F252" s="44">
        <v>2021</v>
      </c>
    </row>
    <row r="253" spans="2:6" ht="16.5" thickBot="1" x14ac:dyDescent="0.3">
      <c r="B253" s="1114"/>
      <c r="C253" s="45" t="s">
        <v>10</v>
      </c>
      <c r="D253" s="45" t="s">
        <v>11</v>
      </c>
      <c r="E253" s="45" t="s">
        <v>11</v>
      </c>
      <c r="F253" s="45" t="s">
        <v>11</v>
      </c>
    </row>
    <row r="254" spans="2:6" ht="16.5" thickBot="1" x14ac:dyDescent="0.3">
      <c r="B254" s="40" t="s">
        <v>19</v>
      </c>
      <c r="C254" s="48">
        <v>500</v>
      </c>
      <c r="D254" s="48">
        <v>0</v>
      </c>
      <c r="E254" s="48">
        <v>0</v>
      </c>
      <c r="F254" s="48">
        <v>0</v>
      </c>
    </row>
    <row r="255" spans="2:6" ht="16.5" thickBot="1" x14ac:dyDescent="0.3">
      <c r="B255" s="40" t="s">
        <v>20</v>
      </c>
      <c r="C255" s="48">
        <v>2333</v>
      </c>
      <c r="D255" s="48">
        <v>0</v>
      </c>
      <c r="E255" s="48">
        <v>0</v>
      </c>
      <c r="F255" s="48">
        <v>0</v>
      </c>
    </row>
    <row r="256" spans="2:6" ht="16.5" thickBot="1" x14ac:dyDescent="0.3">
      <c r="B256" s="40" t="s">
        <v>21</v>
      </c>
      <c r="C256" s="48">
        <f>C255/C254</f>
        <v>4.6660000000000004</v>
      </c>
      <c r="D256" s="48" t="e">
        <f t="shared" ref="D256:F256" si="39">D255/D254</f>
        <v>#DIV/0!</v>
      </c>
      <c r="E256" s="48" t="e">
        <f t="shared" si="39"/>
        <v>#DIV/0!</v>
      </c>
      <c r="F256" s="48" t="e">
        <f t="shared" si="39"/>
        <v>#DIV/0!</v>
      </c>
    </row>
    <row r="257" spans="2:8" ht="16.5" thickBot="1" x14ac:dyDescent="0.3">
      <c r="B257" s="40" t="s">
        <v>22</v>
      </c>
      <c r="C257" s="74" t="s">
        <v>23</v>
      </c>
      <c r="D257" s="49">
        <f>D254/C254-1</f>
        <v>-1</v>
      </c>
      <c r="E257" s="49" t="e">
        <f t="shared" ref="E257:F259" si="40">E254/D254-1</f>
        <v>#DIV/0!</v>
      </c>
      <c r="F257" s="49" t="e">
        <f t="shared" si="40"/>
        <v>#DIV/0!</v>
      </c>
    </row>
    <row r="258" spans="2:8" ht="16.5" thickBot="1" x14ac:dyDescent="0.3">
      <c r="B258" s="40" t="s">
        <v>24</v>
      </c>
      <c r="C258" s="74" t="s">
        <v>23</v>
      </c>
      <c r="D258" s="49">
        <f>D255/C255-1</f>
        <v>-1</v>
      </c>
      <c r="E258" s="49" t="e">
        <f t="shared" si="40"/>
        <v>#DIV/0!</v>
      </c>
      <c r="F258" s="49" t="e">
        <f t="shared" si="40"/>
        <v>#DIV/0!</v>
      </c>
    </row>
    <row r="259" spans="2:8" ht="16.5" thickBot="1" x14ac:dyDescent="0.3">
      <c r="B259" s="40" t="s">
        <v>25</v>
      </c>
      <c r="C259" s="74" t="s">
        <v>23</v>
      </c>
      <c r="D259" s="49" t="e">
        <f>D256/C256-1</f>
        <v>#DIV/0!</v>
      </c>
      <c r="E259" s="49" t="e">
        <f t="shared" si="40"/>
        <v>#DIV/0!</v>
      </c>
      <c r="F259" s="49" t="e">
        <f t="shared" si="40"/>
        <v>#DIV/0!</v>
      </c>
    </row>
    <row r="260" spans="2:8" ht="16.5" thickBot="1" x14ac:dyDescent="0.3">
      <c r="B260" s="1124" t="s">
        <v>673</v>
      </c>
      <c r="C260" s="1125"/>
      <c r="D260" s="1125"/>
      <c r="E260" s="1125"/>
      <c r="F260" s="1126"/>
    </row>
    <row r="261" spans="2:8" x14ac:dyDescent="0.25">
      <c r="B261" s="1113"/>
      <c r="C261" s="44">
        <v>2018</v>
      </c>
      <c r="D261" s="44">
        <v>2019</v>
      </c>
      <c r="E261" s="44">
        <v>2020</v>
      </c>
      <c r="F261" s="44">
        <v>2021</v>
      </c>
    </row>
    <row r="262" spans="2:8" ht="16.5" thickBot="1" x14ac:dyDescent="0.3">
      <c r="B262" s="1114"/>
      <c r="C262" s="45" t="s">
        <v>10</v>
      </c>
      <c r="D262" s="45" t="s">
        <v>11</v>
      </c>
      <c r="E262" s="45" t="s">
        <v>11</v>
      </c>
      <c r="F262" s="45" t="s">
        <v>11</v>
      </c>
    </row>
    <row r="263" spans="2:8" ht="16.5" thickBot="1" x14ac:dyDescent="0.3">
      <c r="B263" s="50" t="s">
        <v>58</v>
      </c>
      <c r="C263" s="51"/>
      <c r="D263" s="51"/>
      <c r="E263" s="51"/>
      <c r="F263" s="51"/>
    </row>
    <row r="264" spans="2:8" ht="16.5" thickBot="1" x14ac:dyDescent="0.3">
      <c r="B264" s="50" t="s">
        <v>59</v>
      </c>
      <c r="C264" s="53">
        <f>C255</f>
        <v>2333</v>
      </c>
      <c r="D264" s="53">
        <f>'[6]Formati 2 Politika Ekzistuese'!E306</f>
        <v>0</v>
      </c>
      <c r="E264" s="53">
        <f>'[6]Formati 2 Politika Ekzistuese'!F306</f>
        <v>0</v>
      </c>
      <c r="F264" s="53">
        <f>'[6]Formati 2 Politika Ekzistuese'!G306</f>
        <v>0</v>
      </c>
    </row>
    <row r="265" spans="2:8" ht="16.5" thickBot="1" x14ac:dyDescent="0.3">
      <c r="B265" s="52" t="s">
        <v>40</v>
      </c>
      <c r="C265" s="53">
        <f>C264+C263</f>
        <v>2333</v>
      </c>
      <c r="D265" s="53">
        <f t="shared" ref="D265:F265" si="41">D264+D263</f>
        <v>0</v>
      </c>
      <c r="E265" s="53">
        <f t="shared" si="41"/>
        <v>0</v>
      </c>
      <c r="F265" s="53">
        <f t="shared" si="41"/>
        <v>0</v>
      </c>
    </row>
    <row r="266" spans="2:8" ht="16.5" thickBot="1" x14ac:dyDescent="0.3">
      <c r="B266" s="140"/>
      <c r="C266" s="141"/>
      <c r="D266" s="141"/>
      <c r="E266" s="141"/>
      <c r="F266" s="141"/>
    </row>
    <row r="267" spans="2:8" ht="37.15" customHeight="1" thickBot="1" x14ac:dyDescent="0.3">
      <c r="B267" s="42" t="s">
        <v>82</v>
      </c>
      <c r="C267" s="54">
        <f>C30+C56+C79+C105+C133+C153+C181+C207+C235+C255</f>
        <v>79800</v>
      </c>
      <c r="D267" s="54">
        <f t="shared" ref="D267:F267" si="42">D30+D56+D79+D105+D133+D153+D181+D207+D235+D255</f>
        <v>72000</v>
      </c>
      <c r="E267" s="54">
        <f t="shared" si="42"/>
        <v>73000</v>
      </c>
      <c r="F267" s="54">
        <f t="shared" si="42"/>
        <v>73500</v>
      </c>
      <c r="H267" s="132"/>
    </row>
    <row r="268" spans="2:8" ht="32.25" thickBot="1" x14ac:dyDescent="0.3">
      <c r="B268" s="42" t="s">
        <v>83</v>
      </c>
      <c r="C268" s="54">
        <f>C270+C272+C274+C276+C278+C280+C282+C284+C286</f>
        <v>79800</v>
      </c>
      <c r="D268" s="54">
        <f>D270+D272+D274+D276+D278+D280+D282+D284+D286</f>
        <v>72000</v>
      </c>
      <c r="E268" s="54">
        <f>E270+E272+E274+E276+E278+E280+E282+E284+E286</f>
        <v>73000</v>
      </c>
      <c r="F268" s="54">
        <f>F270+F272+F274+F276+F278+F280+F282+F284+F286</f>
        <v>73500</v>
      </c>
    </row>
    <row r="269" spans="2:8" ht="32.25" thickBot="1" x14ac:dyDescent="0.3">
      <c r="B269" s="55" t="s">
        <v>84</v>
      </c>
      <c r="C269" s="56"/>
      <c r="D269" s="57">
        <f>D268/C268-1</f>
        <v>-9.7744360902255689E-2</v>
      </c>
      <c r="E269" s="57">
        <f t="shared" ref="E269:F269" si="43">E268/D268-1</f>
        <v>1.388888888888884E-2</v>
      </c>
      <c r="F269" s="57">
        <f t="shared" si="43"/>
        <v>6.8493150684931781E-3</v>
      </c>
    </row>
    <row r="270" spans="2:8" ht="16.5" thickBot="1" x14ac:dyDescent="0.3">
      <c r="B270" s="50" t="s">
        <v>26</v>
      </c>
      <c r="C270" s="51">
        <f>C38+C115+C191+C217</f>
        <v>52900</v>
      </c>
      <c r="D270" s="51">
        <f t="shared" ref="D270:F270" si="44">D38+D115+D191+D217</f>
        <v>52540</v>
      </c>
      <c r="E270" s="51">
        <f t="shared" si="44"/>
        <v>53280</v>
      </c>
      <c r="F270" s="51">
        <f t="shared" si="44"/>
        <v>53650</v>
      </c>
    </row>
    <row r="271" spans="2:8" ht="16.5" thickBot="1" x14ac:dyDescent="0.3">
      <c r="B271" s="58" t="s">
        <v>85</v>
      </c>
      <c r="C271" s="53"/>
      <c r="D271" s="59">
        <f>D270/C270-1</f>
        <v>-6.8052930056711203E-3</v>
      </c>
      <c r="E271" s="59">
        <f t="shared" ref="E271:F271" si="45">E270/D270-1</f>
        <v>1.4084507042253502E-2</v>
      </c>
      <c r="F271" s="59">
        <f t="shared" si="45"/>
        <v>6.9444444444444198E-3</v>
      </c>
      <c r="H271" s="132"/>
    </row>
    <row r="272" spans="2:8" ht="16.5" thickBot="1" x14ac:dyDescent="0.3">
      <c r="B272" s="50" t="s">
        <v>28</v>
      </c>
      <c r="C272" s="51">
        <f>C39+C116+C192+C218</f>
        <v>8600</v>
      </c>
      <c r="D272" s="51">
        <f t="shared" ref="D272:F272" si="46">D39+D116+D192+D218</f>
        <v>8520</v>
      </c>
      <c r="E272" s="51">
        <f t="shared" si="46"/>
        <v>8640</v>
      </c>
      <c r="F272" s="51">
        <f t="shared" si="46"/>
        <v>8700</v>
      </c>
      <c r="H272" s="142"/>
    </row>
    <row r="273" spans="2:8" ht="32.25" thickBot="1" x14ac:dyDescent="0.3">
      <c r="B273" s="58" t="s">
        <v>86</v>
      </c>
      <c r="C273" s="53"/>
      <c r="D273" s="59">
        <f>D272/C272-1</f>
        <v>-9.302325581395321E-3</v>
      </c>
      <c r="E273" s="59">
        <f t="shared" ref="E273:F273" si="47">E272/D272-1</f>
        <v>1.4084507042253502E-2</v>
      </c>
      <c r="F273" s="59">
        <f t="shared" si="47"/>
        <v>6.9444444444444198E-3</v>
      </c>
      <c r="H273" s="132"/>
    </row>
    <row r="274" spans="2:8" ht="16.5" thickBot="1" x14ac:dyDescent="0.3">
      <c r="B274" s="50" t="s">
        <v>30</v>
      </c>
      <c r="C274" s="51">
        <f>C40+C117+C193+C219</f>
        <v>10060</v>
      </c>
      <c r="D274" s="51">
        <f t="shared" ref="D274:F274" si="48">D40+D117+D193+D219</f>
        <v>9700.0000000000018</v>
      </c>
      <c r="E274" s="51">
        <f t="shared" si="48"/>
        <v>9840.0000000000018</v>
      </c>
      <c r="F274" s="51">
        <f t="shared" si="48"/>
        <v>9910.0000000000018</v>
      </c>
    </row>
    <row r="275" spans="2:8" ht="16.5" thickBot="1" x14ac:dyDescent="0.3">
      <c r="B275" s="58" t="s">
        <v>87</v>
      </c>
      <c r="C275" s="53"/>
      <c r="D275" s="59">
        <f>D274/C274-1</f>
        <v>-3.5785288270377524E-2</v>
      </c>
      <c r="E275" s="59">
        <f t="shared" ref="E275:F275" si="49">E274/D274-1</f>
        <v>1.4432989690721598E-2</v>
      </c>
      <c r="F275" s="59">
        <f t="shared" si="49"/>
        <v>7.1138211382113514E-3</v>
      </c>
    </row>
    <row r="276" spans="2:8" ht="16.5" thickBot="1" x14ac:dyDescent="0.3">
      <c r="B276" s="50" t="s">
        <v>32</v>
      </c>
      <c r="C276" s="51">
        <v>0</v>
      </c>
      <c r="D276" s="51">
        <v>0</v>
      </c>
      <c r="E276" s="51">
        <v>0</v>
      </c>
      <c r="F276" s="51">
        <v>0</v>
      </c>
    </row>
    <row r="277" spans="2:8" ht="16.5" thickBot="1" x14ac:dyDescent="0.3">
      <c r="B277" s="58" t="s">
        <v>88</v>
      </c>
      <c r="C277" s="53"/>
      <c r="D277" s="59" t="e">
        <f>D276/C276-1</f>
        <v>#DIV/0!</v>
      </c>
      <c r="E277" s="59" t="e">
        <f t="shared" ref="E277:F277" si="50">E276/D276-1</f>
        <v>#DIV/0!</v>
      </c>
      <c r="F277" s="59" t="e">
        <f t="shared" si="50"/>
        <v>#DIV/0!</v>
      </c>
    </row>
    <row r="278" spans="2:8" ht="16.5" thickBot="1" x14ac:dyDescent="0.3">
      <c r="B278" s="50" t="s">
        <v>34</v>
      </c>
      <c r="C278" s="51">
        <v>0</v>
      </c>
      <c r="D278" s="51">
        <v>0</v>
      </c>
      <c r="E278" s="51">
        <v>0</v>
      </c>
      <c r="F278" s="51">
        <v>0</v>
      </c>
    </row>
    <row r="279" spans="2:8" ht="16.5" thickBot="1" x14ac:dyDescent="0.3">
      <c r="B279" s="58" t="s">
        <v>89</v>
      </c>
      <c r="C279" s="53"/>
      <c r="D279" s="59" t="e">
        <f>D278/C278-1</f>
        <v>#DIV/0!</v>
      </c>
      <c r="E279" s="59" t="e">
        <f t="shared" ref="E279:F279" si="51">E278/D278-1</f>
        <v>#DIV/0!</v>
      </c>
      <c r="F279" s="59" t="e">
        <f t="shared" si="51"/>
        <v>#DIV/0!</v>
      </c>
    </row>
    <row r="280" spans="2:8" ht="16.5" thickBot="1" x14ac:dyDescent="0.3">
      <c r="B280" s="50" t="s">
        <v>36</v>
      </c>
      <c r="C280" s="51">
        <v>0</v>
      </c>
      <c r="D280" s="51">
        <v>0</v>
      </c>
      <c r="E280" s="51">
        <v>0</v>
      </c>
      <c r="F280" s="51">
        <v>0</v>
      </c>
    </row>
    <row r="281" spans="2:8" ht="16.5" thickBot="1" x14ac:dyDescent="0.3">
      <c r="B281" s="58" t="s">
        <v>90</v>
      </c>
      <c r="C281" s="53"/>
      <c r="D281" s="59" t="e">
        <f>D280/C280-1</f>
        <v>#DIV/0!</v>
      </c>
      <c r="E281" s="59" t="e">
        <f t="shared" ref="E281:F281" si="52">E280/D280-1</f>
        <v>#DIV/0!</v>
      </c>
      <c r="F281" s="59" t="e">
        <f t="shared" si="52"/>
        <v>#DIV/0!</v>
      </c>
    </row>
    <row r="282" spans="2:8" ht="16.5" thickBot="1" x14ac:dyDescent="0.3">
      <c r="B282" s="50" t="s">
        <v>38</v>
      </c>
      <c r="C282" s="51">
        <f>C121+C44+C197+C223</f>
        <v>240</v>
      </c>
      <c r="D282" s="51">
        <f t="shared" ref="D282:F282" si="53">D121+D44+D197</f>
        <v>240</v>
      </c>
      <c r="E282" s="51">
        <f t="shared" si="53"/>
        <v>240</v>
      </c>
      <c r="F282" s="51">
        <f t="shared" si="53"/>
        <v>240</v>
      </c>
    </row>
    <row r="283" spans="2:8" ht="32.25" thickBot="1" x14ac:dyDescent="0.3">
      <c r="B283" s="58" t="s">
        <v>91</v>
      </c>
      <c r="C283" s="53"/>
      <c r="D283" s="59">
        <f>D282/C282-1</f>
        <v>0</v>
      </c>
      <c r="E283" s="59">
        <f t="shared" ref="E283:F283" si="54">E282/D282-1</f>
        <v>0</v>
      </c>
      <c r="F283" s="59">
        <f t="shared" si="54"/>
        <v>0</v>
      </c>
    </row>
    <row r="284" spans="2:8" ht="16.5" thickBot="1" x14ac:dyDescent="0.3">
      <c r="B284" s="50" t="s">
        <v>92</v>
      </c>
      <c r="C284" s="51">
        <f>C64+C87+C141+C161</f>
        <v>0</v>
      </c>
      <c r="D284" s="51">
        <f t="shared" ref="D284:F284" si="55">D64+D87+D141+D161</f>
        <v>0</v>
      </c>
      <c r="E284" s="51">
        <f t="shared" si="55"/>
        <v>0</v>
      </c>
      <c r="F284" s="51">
        <f t="shared" si="55"/>
        <v>0</v>
      </c>
    </row>
    <row r="285" spans="2:8" ht="16.5" thickBot="1" x14ac:dyDescent="0.3">
      <c r="B285" s="58" t="s">
        <v>93</v>
      </c>
      <c r="C285" s="53"/>
      <c r="D285" s="59" t="e">
        <f>D284/C284-1</f>
        <v>#DIV/0!</v>
      </c>
      <c r="E285" s="59" t="e">
        <f t="shared" ref="E285:F285" si="56">E284/D284-1</f>
        <v>#DIV/0!</v>
      </c>
      <c r="F285" s="59" t="e">
        <f t="shared" si="56"/>
        <v>#DIV/0!</v>
      </c>
    </row>
    <row r="286" spans="2:8" ht="16.5" thickBot="1" x14ac:dyDescent="0.3">
      <c r="B286" s="50" t="s">
        <v>94</v>
      </c>
      <c r="C286" s="51">
        <f>C265+C245+C163+C143+C89+C66</f>
        <v>8000</v>
      </c>
      <c r="D286" s="51">
        <f t="shared" ref="D286:F286" si="57">D265+D245+D163+D143+D89+D66</f>
        <v>1000</v>
      </c>
      <c r="E286" s="51">
        <f t="shared" si="57"/>
        <v>1000</v>
      </c>
      <c r="F286" s="51">
        <f t="shared" si="57"/>
        <v>1000</v>
      </c>
    </row>
    <row r="287" spans="2:8" ht="16.5" thickBot="1" x14ac:dyDescent="0.3">
      <c r="B287" s="58" t="s">
        <v>95</v>
      </c>
      <c r="C287" s="53"/>
      <c r="D287" s="59">
        <f>D286/C286-1</f>
        <v>-0.875</v>
      </c>
      <c r="E287" s="59">
        <f t="shared" ref="E287:F287" si="58">E286/D286-1</f>
        <v>0</v>
      </c>
      <c r="F287" s="59">
        <f t="shared" si="58"/>
        <v>0</v>
      </c>
    </row>
    <row r="288" spans="2:8" ht="16.5" thickBot="1" x14ac:dyDescent="0.3">
      <c r="B288" s="46" t="s">
        <v>41</v>
      </c>
      <c r="C288" s="47">
        <f>IF(C268-C267=0,0,"Error")</f>
        <v>0</v>
      </c>
      <c r="D288" s="47">
        <f>IF(D268-D267=0,0,"Error")</f>
        <v>0</v>
      </c>
      <c r="E288" s="47">
        <f t="shared" ref="E288:F288" si="59">IF(E268-E267=0,0,"Error")</f>
        <v>0</v>
      </c>
      <c r="F288" s="47">
        <f t="shared" si="59"/>
        <v>0</v>
      </c>
    </row>
    <row r="289" spans="2:6" ht="31.9" customHeight="1" thickBot="1" x14ac:dyDescent="0.3">
      <c r="B289" s="60" t="s">
        <v>96</v>
      </c>
      <c r="C289" s="51">
        <v>43</v>
      </c>
      <c r="D289" s="51">
        <v>46</v>
      </c>
      <c r="E289" s="51">
        <v>50</v>
      </c>
      <c r="F289" s="51">
        <v>52</v>
      </c>
    </row>
    <row r="290" spans="2:6" ht="36" customHeight="1" thickBot="1" x14ac:dyDescent="0.3">
      <c r="B290" s="60" t="s">
        <v>97</v>
      </c>
      <c r="C290" s="51">
        <v>4</v>
      </c>
      <c r="D290" s="51">
        <v>4</v>
      </c>
      <c r="E290" s="51">
        <v>2</v>
      </c>
      <c r="F290" s="51">
        <v>2</v>
      </c>
    </row>
    <row r="291" spans="2:6" x14ac:dyDescent="0.25">
      <c r="B291" s="143"/>
      <c r="C291" s="144"/>
      <c r="D291" s="144"/>
      <c r="E291" s="144"/>
      <c r="F291" s="144"/>
    </row>
  </sheetData>
  <mergeCells count="104">
    <mergeCell ref="B252:B253"/>
    <mergeCell ref="B260:F260"/>
    <mergeCell ref="B261:B262"/>
    <mergeCell ref="B246:F246"/>
    <mergeCell ref="B247:F247"/>
    <mergeCell ref="C248:F248"/>
    <mergeCell ref="C249:F249"/>
    <mergeCell ref="C250:F250"/>
    <mergeCell ref="C251:F251"/>
    <mergeCell ref="C229:F229"/>
    <mergeCell ref="C230:F230"/>
    <mergeCell ref="C231:F231"/>
    <mergeCell ref="B232:B233"/>
    <mergeCell ref="B240:F240"/>
    <mergeCell ref="B241:B242"/>
    <mergeCell ref="B212:B213"/>
    <mergeCell ref="B214:F214"/>
    <mergeCell ref="B215:B216"/>
    <mergeCell ref="B226:F226"/>
    <mergeCell ref="B227:F227"/>
    <mergeCell ref="C228:F228"/>
    <mergeCell ref="B188:F188"/>
    <mergeCell ref="B189:B190"/>
    <mergeCell ref="C201:F201"/>
    <mergeCell ref="C202:F202"/>
    <mergeCell ref="C203:F203"/>
    <mergeCell ref="B204:B205"/>
    <mergeCell ref="B173:B174"/>
    <mergeCell ref="C175:F175"/>
    <mergeCell ref="C176:F176"/>
    <mergeCell ref="C177:F177"/>
    <mergeCell ref="B178:B179"/>
    <mergeCell ref="B186:B187"/>
    <mergeCell ref="B158:F158"/>
    <mergeCell ref="B159:B160"/>
    <mergeCell ref="C166:F166"/>
    <mergeCell ref="B167:F167"/>
    <mergeCell ref="B171:F171"/>
    <mergeCell ref="B172:F172"/>
    <mergeCell ref="B145:F145"/>
    <mergeCell ref="C146:F146"/>
    <mergeCell ref="C147:F147"/>
    <mergeCell ref="C148:F148"/>
    <mergeCell ref="C149:F149"/>
    <mergeCell ref="B150:B151"/>
    <mergeCell ref="C128:F128"/>
    <mergeCell ref="C129:F129"/>
    <mergeCell ref="B130:B131"/>
    <mergeCell ref="B138:F138"/>
    <mergeCell ref="B139:B140"/>
    <mergeCell ref="B144:F144"/>
    <mergeCell ref="B112:F112"/>
    <mergeCell ref="B113:B114"/>
    <mergeCell ref="B124:F124"/>
    <mergeCell ref="B125:F125"/>
    <mergeCell ref="C126:F126"/>
    <mergeCell ref="C127:F127"/>
    <mergeCell ref="B97:B98"/>
    <mergeCell ref="C99:F99"/>
    <mergeCell ref="C100:F100"/>
    <mergeCell ref="C101:F101"/>
    <mergeCell ref="B102:B103"/>
    <mergeCell ref="B110:B111"/>
    <mergeCell ref="B84:F84"/>
    <mergeCell ref="B85:B86"/>
    <mergeCell ref="C90:F90"/>
    <mergeCell ref="B91:F91"/>
    <mergeCell ref="B95:F95"/>
    <mergeCell ref="B96:F96"/>
    <mergeCell ref="B70:F70"/>
    <mergeCell ref="B71:F71"/>
    <mergeCell ref="C72:F72"/>
    <mergeCell ref="C73:F73"/>
    <mergeCell ref="C74:F74"/>
    <mergeCell ref="B76:B77"/>
    <mergeCell ref="B53:B54"/>
    <mergeCell ref="B61:F61"/>
    <mergeCell ref="B62:B63"/>
    <mergeCell ref="B67:B69"/>
    <mergeCell ref="C67:F69"/>
    <mergeCell ref="C52:F52"/>
    <mergeCell ref="B2:F2"/>
    <mergeCell ref="C4:F4"/>
    <mergeCell ref="C5:F5"/>
    <mergeCell ref="C6:F6"/>
    <mergeCell ref="B7:F7"/>
    <mergeCell ref="B23:F23"/>
    <mergeCell ref="C24:F24"/>
    <mergeCell ref="C25:F25"/>
    <mergeCell ref="C26:F26"/>
    <mergeCell ref="B36:B37"/>
    <mergeCell ref="B47:F47"/>
    <mergeCell ref="B48:F48"/>
    <mergeCell ref="C49:F49"/>
    <mergeCell ref="C50:F50"/>
    <mergeCell ref="C51:F51"/>
    <mergeCell ref="B27:B28"/>
    <mergeCell ref="B35:F35"/>
    <mergeCell ref="B8:F10"/>
    <mergeCell ref="C11:F11"/>
    <mergeCell ref="B12:B13"/>
    <mergeCell ref="C17:F17"/>
    <mergeCell ref="B18:F18"/>
    <mergeCell ref="B22:F22"/>
  </mergeCells>
  <printOptions horizontalCentered="1" verticalCentered="1"/>
  <pageMargins left="0.7" right="0.7" top="0.75" bottom="0.75" header="0.3" footer="0.3"/>
  <pageSetup scale="11" orientation="portrait" r:id="rId1"/>
  <rowBreaks count="2" manualBreakCount="2">
    <brk id="46" max="16383" man="1"/>
    <brk id="83"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G203"/>
  <sheetViews>
    <sheetView topLeftCell="A172" workbookViewId="0">
      <selection activeCell="C179" sqref="C179"/>
    </sheetView>
  </sheetViews>
  <sheetFormatPr defaultRowHeight="15" x14ac:dyDescent="0.25"/>
  <cols>
    <col min="1" max="1" width="20.7109375" style="152" customWidth="1"/>
    <col min="2" max="2" width="52.5703125" style="152" customWidth="1"/>
    <col min="3" max="6" width="21.42578125" style="152" customWidth="1"/>
    <col min="7" max="16384" width="9.140625" style="152"/>
  </cols>
  <sheetData>
    <row r="3" spans="2:6" ht="35.25" customHeight="1" x14ac:dyDescent="0.25">
      <c r="B3" s="762" t="str">
        <f>'[7]Formati 2.1 Sipas Tavaneve'!C2</f>
        <v xml:space="preserve">FORMAT 2.1 : FORMATI STANDARD I PËRGATITJES SË KËRKESAVE BUXHETORE PBA 2019-2021 </v>
      </c>
      <c r="C3" s="762"/>
      <c r="D3" s="762"/>
      <c r="E3" s="762"/>
      <c r="F3" s="762"/>
    </row>
    <row r="4" spans="2:6" ht="15.75" thickBot="1" x14ac:dyDescent="0.3"/>
    <row r="5" spans="2:6" ht="15.75" thickBot="1" x14ac:dyDescent="0.3">
      <c r="B5" s="153" t="str">
        <f>'[7]Formati 2.1 Sipas Tavaneve'!C5</f>
        <v>Emërtimi i Programit Buxhetor</v>
      </c>
      <c r="C5" s="995" t="str">
        <f>'[7]Formati 2.1 Sipas Tavaneve'!D5</f>
        <v>Shpenzime te tjera</v>
      </c>
      <c r="D5" s="996"/>
      <c r="E5" s="996"/>
      <c r="F5" s="997"/>
    </row>
    <row r="6" spans="2:6" ht="15.75" thickBot="1" x14ac:dyDescent="0.3">
      <c r="B6" s="153" t="str">
        <f>'[7]Formati 2.1 Sipas Tavaneve'!C6</f>
        <v>Kodi i Programit</v>
      </c>
      <c r="C6" s="1048" t="str">
        <f>'[7]Formati 2.1 Sipas Tavaneve'!D6</f>
        <v>1150</v>
      </c>
      <c r="D6" s="981"/>
      <c r="E6" s="981"/>
      <c r="F6" s="982"/>
    </row>
    <row r="7" spans="2:6" ht="15.75" thickBot="1" x14ac:dyDescent="0.3">
      <c r="B7" s="153" t="str">
        <f>'[7]Formati 2.1 Sipas Tavaneve'!C7</f>
        <v>Programi Buxhetor Afatmesëm</v>
      </c>
      <c r="C7" s="983" t="str">
        <f>'[7]Formati 2.1 Sipas Tavaneve'!D7</f>
        <v>2019-2021</v>
      </c>
      <c r="D7" s="984"/>
      <c r="E7" s="984"/>
      <c r="F7" s="985"/>
    </row>
    <row r="8" spans="2:6" ht="15.75" thickBot="1" x14ac:dyDescent="0.3">
      <c r="B8" s="1528" t="str">
        <f>'[7]Formati 2.1 Sipas Tavaneve'!C8</f>
        <v>Përshkrimi i Programit</v>
      </c>
      <c r="C8" s="1529"/>
      <c r="D8" s="1529"/>
      <c r="E8" s="1529"/>
      <c r="F8" s="1530"/>
    </row>
    <row r="9" spans="2:6" ht="15" customHeight="1" x14ac:dyDescent="0.25">
      <c r="B9" s="1531" t="str">
        <f>'[7]Formati 2.1 Sipas Tavaneve'!C9</f>
        <v>Realizimi i politikave me qellim permiresimin e kuadrit ligjor konform kerkesave te direktivave te BE-se per sektorin  e ujit, forcimin e kuadrit institucional ne nivel kombetar dhe ne nivel baseni ujor dhe nderkufitar si dhe te sistemit fianaciar dhe informacionit ne teresi.</v>
      </c>
      <c r="C9" s="1532"/>
      <c r="D9" s="1532"/>
      <c r="E9" s="1532"/>
      <c r="F9" s="1533"/>
    </row>
    <row r="10" spans="2:6" ht="36.75" customHeight="1" thickBot="1" x14ac:dyDescent="0.3">
      <c r="B10" s="1534"/>
      <c r="C10" s="1535"/>
      <c r="D10" s="1535"/>
      <c r="E10" s="1535"/>
      <c r="F10" s="1536"/>
    </row>
    <row r="11" spans="2:6" ht="66.75" customHeight="1" thickBot="1" x14ac:dyDescent="0.3">
      <c r="B11" s="667" t="str">
        <f>'[7]Formati 2.1 Sipas Tavaneve'!C11</f>
        <v>Qëllimet e Politikës së Programit</v>
      </c>
      <c r="C11" s="1537" t="str">
        <f>'[7]Formati 2.1 Sipas Tavaneve'!D11</f>
        <v>Ngritja e një sistemi të integruar në sektorin e ujit si dhe monitorimi i funksionimi të këtij sistemit nepermjet marrëdhënieve te bashkëpunimit me institucione të ndryshme, me qëllim grumbullimin e informacioneve, shkëmbimin e ideve dhe eksperiencave, identifikimin e praktikave më të mira si në aspektin financiar dhe njerëzor gjithashtu.</v>
      </c>
      <c r="D11" s="1538"/>
      <c r="E11" s="1538"/>
      <c r="F11" s="1539"/>
    </row>
    <row r="12" spans="2:6" ht="15" customHeight="1" x14ac:dyDescent="0.25">
      <c r="B12" s="1540" t="str">
        <f>'[7]Formati 2.1 Sipas Tavaneve'!C12</f>
        <v>Treguesit e Performancës në nivel Qëllimi*</v>
      </c>
      <c r="C12" s="640">
        <f>'[7]Formati 2.1 Sipas Tavaneve'!D12</f>
        <v>2018</v>
      </c>
      <c r="D12" s="640">
        <f>'[7]Formati 2.1 Sipas Tavaneve'!E12</f>
        <v>2019</v>
      </c>
      <c r="E12" s="640">
        <f>'[7]Formati 2.1 Sipas Tavaneve'!F12</f>
        <v>2020</v>
      </c>
      <c r="F12" s="640">
        <f>'[7]Formati 2.1 Sipas Tavaneve'!G12</f>
        <v>2021</v>
      </c>
    </row>
    <row r="13" spans="2:6" ht="15.75" thickBot="1" x14ac:dyDescent="0.3">
      <c r="B13" s="999"/>
      <c r="C13" s="641" t="str">
        <f>'[7]Formati 2.1 Sipas Tavaneve'!D13</f>
        <v>Buxheti</v>
      </c>
      <c r="D13" s="641" t="str">
        <f>'[7]Formati 2.1 Sipas Tavaneve'!E13</f>
        <v>Parashikimi</v>
      </c>
      <c r="E13" s="641" t="str">
        <f>'[7]Formati 2.1 Sipas Tavaneve'!F13</f>
        <v>Parashikimi</v>
      </c>
      <c r="F13" s="641" t="str">
        <f>'[7]Formati 2.1 Sipas Tavaneve'!G13</f>
        <v>Parashikimi</v>
      </c>
    </row>
    <row r="14" spans="2:6" ht="39" customHeight="1" thickBot="1" x14ac:dyDescent="0.3">
      <c r="B14" s="668" t="str">
        <f>'[7]Formati 2.1 Sipas Tavaneve'!C14</f>
        <v>Perqindja e rritjes se efikasitetit te perdorimit te fondeve buxhetore qe lidhen drejtperdrejt me sektorin e ujit</v>
      </c>
      <c r="C14" s="658">
        <f>'[7]Formati 2.1 Sipas Tavaneve'!D14</f>
        <v>1</v>
      </c>
      <c r="D14" s="658">
        <f>'[7]Formati 2.1 Sipas Tavaneve'!E14</f>
        <v>1</v>
      </c>
      <c r="E14" s="658">
        <f>'[7]Formati 2.1 Sipas Tavaneve'!F14</f>
        <v>1</v>
      </c>
      <c r="F14" s="658">
        <f>'[7]Formati 2.1 Sipas Tavaneve'!G14</f>
        <v>1</v>
      </c>
    </row>
    <row r="15" spans="2:6" ht="24.75" customHeight="1" thickBot="1" x14ac:dyDescent="0.3">
      <c r="B15" s="668" t="str">
        <f>'[7]Formati 2.1 Sipas Tavaneve'!C15</f>
        <v>Niveli i perdorimit te sistemit te integruar te informacionit</v>
      </c>
      <c r="C15" s="658">
        <f>'[7]Formati 2.1 Sipas Tavaneve'!D15</f>
        <v>0.05</v>
      </c>
      <c r="D15" s="658">
        <f>'[7]Formati 2.1 Sipas Tavaneve'!E15</f>
        <v>0.15</v>
      </c>
      <c r="E15" s="658">
        <f>'[7]Formati 2.1 Sipas Tavaneve'!F15</f>
        <v>0.25</v>
      </c>
      <c r="F15" s="658">
        <f>'[7]Formati 2.1 Sipas Tavaneve'!G15</f>
        <v>0.3</v>
      </c>
    </row>
    <row r="16" spans="2:6" ht="24.75" customHeight="1" thickBot="1" x14ac:dyDescent="0.3">
      <c r="B16" s="158" t="str">
        <f>'[7]Formati 2.1 Sipas Tavaneve'!C16</f>
        <v>Objektivi 1 i Politikës së Programit</v>
      </c>
      <c r="C16" s="1007" t="str">
        <f>'[7]Formati 2.1 Sipas Tavaneve'!D16</f>
        <v xml:space="preserve">Optimizimi i menaxhimit të integruar të burimeve ujore në nivel kombëtar dhe nivel baseni ujor </v>
      </c>
      <c r="D16" s="1006"/>
      <c r="E16" s="1006"/>
      <c r="F16" s="1008"/>
    </row>
    <row r="17" spans="2:6" ht="15.75" customHeight="1" thickBot="1" x14ac:dyDescent="0.3">
      <c r="B17" s="983" t="str">
        <f>'[7]Formati 2.1 Sipas Tavaneve'!C17</f>
        <v>Treguesit e Performancës për Objektivin 1**</v>
      </c>
      <c r="C17" s="984"/>
      <c r="D17" s="984"/>
      <c r="E17" s="984"/>
      <c r="F17" s="985"/>
    </row>
    <row r="18" spans="2:6" ht="15.75" thickBot="1" x14ac:dyDescent="0.3">
      <c r="B18" s="643" t="str">
        <f>'[7]Formati 2.1 Sipas Tavaneve'!C18</f>
        <v>Numri i dokumenteve politike dhe strategjike te miratuara</v>
      </c>
      <c r="C18" s="669">
        <f>'[7]Formati 2.1 Sipas Tavaneve'!D18</f>
        <v>2</v>
      </c>
      <c r="D18" s="669">
        <f>'[7]Formati 2.1 Sipas Tavaneve'!E18</f>
        <v>2</v>
      </c>
      <c r="E18" s="669">
        <f>'[7]Formati 2.1 Sipas Tavaneve'!F18</f>
        <v>2</v>
      </c>
      <c r="F18" s="669">
        <f>'[7]Formati 2.1 Sipas Tavaneve'!G18</f>
        <v>2</v>
      </c>
    </row>
    <row r="19" spans="2:6" ht="30.75" thickBot="1" x14ac:dyDescent="0.3">
      <c r="B19" s="229" t="str">
        <f>'[7]Formati 2.1 Sipas Tavaneve'!C19</f>
        <v>Numri i pikave te reduktuara të shfrytëzimit të paligjshëm të inerteve</v>
      </c>
      <c r="C19" s="670">
        <f>'[7]Formati 2.1 Sipas Tavaneve'!D19</f>
        <v>182</v>
      </c>
      <c r="D19" s="671">
        <f>'[7]Formati 2.1 Sipas Tavaneve'!E19</f>
        <v>80</v>
      </c>
      <c r="E19" s="671">
        <f>'[7]Formati 2.1 Sipas Tavaneve'!F19</f>
        <v>0</v>
      </c>
      <c r="F19" s="671">
        <f>'[7]Formati 2.1 Sipas Tavaneve'!G19</f>
        <v>0</v>
      </c>
    </row>
    <row r="20" spans="2:6" ht="30.75" thickBot="1" x14ac:dyDescent="0.3">
      <c r="B20" s="229" t="str">
        <f>'[7]Formati 2.1 Sipas Tavaneve'!C20</f>
        <v>Numri i puseve te formalizuara, te cilet perdorin ujerat nentoksore</v>
      </c>
      <c r="C20" s="670">
        <f>'[7]Formati 2.1 Sipas Tavaneve'!D20</f>
        <v>197</v>
      </c>
      <c r="D20" s="671">
        <f>'[7]Formati 2.1 Sipas Tavaneve'!E20</f>
        <v>25000</v>
      </c>
      <c r="E20" s="671">
        <f>'[7]Formati 2.1 Sipas Tavaneve'!F20</f>
        <v>50000</v>
      </c>
      <c r="F20" s="671">
        <f>'[7]Formati 2.1 Sipas Tavaneve'!G20</f>
        <v>60000</v>
      </c>
    </row>
    <row r="21" spans="2:6" ht="15.75" thickBot="1" x14ac:dyDescent="0.3">
      <c r="B21" s="229" t="str">
        <f>'[7]Formati 2.1 Sipas Tavaneve'!C21</f>
        <v xml:space="preserve">Numri i lejeve / autorizimeve te miratuara </v>
      </c>
      <c r="C21" s="670">
        <f>'[7]Formati 2.1 Sipas Tavaneve'!D21</f>
        <v>1000</v>
      </c>
      <c r="D21" s="671">
        <f>'[7]Formati 2.1 Sipas Tavaneve'!E21</f>
        <v>3000</v>
      </c>
      <c r="E21" s="671">
        <f>'[7]Formati 2.1 Sipas Tavaneve'!F21</f>
        <v>5000</v>
      </c>
      <c r="F21" s="671">
        <f>'[7]Formati 2.1 Sipas Tavaneve'!G21</f>
        <v>6000</v>
      </c>
    </row>
    <row r="22" spans="2:6" ht="15.75" thickBot="1" x14ac:dyDescent="0.3">
      <c r="B22" s="989" t="str">
        <f>'[7]Formati 2.1 Sipas Tavaneve'!C22</f>
        <v>Produktet për Objektivin 1</v>
      </c>
      <c r="C22" s="990"/>
      <c r="D22" s="990"/>
      <c r="E22" s="990"/>
      <c r="F22" s="991"/>
    </row>
    <row r="23" spans="2:6" ht="15.75" thickBot="1" x14ac:dyDescent="0.3">
      <c r="B23" s="989" t="str">
        <f>'[7]Formati 2.1 Sipas Tavaneve'!C23</f>
        <v>Shpenzimet Korrente</v>
      </c>
      <c r="C23" s="990"/>
      <c r="D23" s="990"/>
      <c r="E23" s="990"/>
      <c r="F23" s="991"/>
    </row>
    <row r="24" spans="2:6" ht="23.25" customHeight="1" thickBot="1" x14ac:dyDescent="0.3">
      <c r="B24" s="160" t="str">
        <f>'[7]Formati 2.1 Sipas Tavaneve'!C24</f>
        <v>Produkti 1</v>
      </c>
      <c r="C24" s="1541" t="str">
        <f>'[7]Formati 2.1 Sipas Tavaneve'!D24</f>
        <v xml:space="preserve">Mbeshtetja e KBU-ve/ABU ne procesin e vendimarrjes mbi perdorimin e burimeve ujore </v>
      </c>
      <c r="D24" s="1542"/>
      <c r="E24" s="1542"/>
      <c r="F24" s="1543"/>
    </row>
    <row r="25" spans="2:6" ht="44.25" customHeight="1" thickBot="1" x14ac:dyDescent="0.3">
      <c r="B25" s="62" t="str">
        <f>'[7]Formati 2.1 Sipas Tavaneve'!C25</f>
        <v>Përshkrimi i Produktit:</v>
      </c>
      <c r="C25" s="1544" t="str">
        <f>'[7]Formati 2.1 Sipas Tavaneve'!D25</f>
        <v>Sigurimi i mbeshtetjes se vazhdueshme te KBU-ve/ABU ne procesin e vendimarrjes mbi perdorimin e burimeve ujore me qellim miremanaxhimin e ketyre burimeve.</v>
      </c>
      <c r="D25" s="1545"/>
      <c r="E25" s="1545"/>
      <c r="F25" s="1546"/>
    </row>
    <row r="26" spans="2:6" ht="15.75" thickBot="1" x14ac:dyDescent="0.3">
      <c r="B26" s="62" t="str">
        <f>'[7]Formati 2.1 Sipas Tavaneve'!C26</f>
        <v>Njësia Matëse</v>
      </c>
      <c r="C26" s="1547" t="str">
        <f>'[7]Formati 2.1 Sipas Tavaneve'!D26</f>
        <v>takime/konsultime</v>
      </c>
      <c r="D26" s="1548"/>
      <c r="E26" s="1548"/>
      <c r="F26" s="1549"/>
    </row>
    <row r="27" spans="2:6" x14ac:dyDescent="0.25">
      <c r="B27" s="998">
        <f>'[7]Formati 2.1 Sipas Tavaneve'!C27</f>
        <v>0</v>
      </c>
      <c r="C27" s="63">
        <f>'[7]Formati 2.1 Sipas Tavaneve'!D27</f>
        <v>2018</v>
      </c>
      <c r="D27" s="63">
        <f>'[7]Formati 2.1 Sipas Tavaneve'!E27</f>
        <v>2019</v>
      </c>
      <c r="E27" s="63">
        <f>'[7]Formati 2.1 Sipas Tavaneve'!F27</f>
        <v>2020</v>
      </c>
      <c r="F27" s="63">
        <f>'[7]Formati 2.1 Sipas Tavaneve'!G27</f>
        <v>2021</v>
      </c>
    </row>
    <row r="28" spans="2:6" ht="15.75" thickBot="1" x14ac:dyDescent="0.3">
      <c r="B28" s="999"/>
      <c r="C28" s="64" t="str">
        <f>'[7]Formati 2.1 Sipas Tavaneve'!D28</f>
        <v>Buxheti</v>
      </c>
      <c r="D28" s="64" t="str">
        <f>'[7]Formati 2.1 Sipas Tavaneve'!E28</f>
        <v>Parashikimi</v>
      </c>
      <c r="E28" s="64" t="str">
        <f>'[7]Formati 2.1 Sipas Tavaneve'!F28</f>
        <v>Parashikimi</v>
      </c>
      <c r="F28" s="64" t="str">
        <f>'[7]Formati 2.1 Sipas Tavaneve'!G28</f>
        <v>Parashikimi</v>
      </c>
    </row>
    <row r="29" spans="2:6" ht="15.75" thickBot="1" x14ac:dyDescent="0.3">
      <c r="B29" s="62" t="str">
        <f>'[7]Formati 2.1 Sipas Tavaneve'!C29</f>
        <v>Sasia</v>
      </c>
      <c r="C29" s="161">
        <f>'[7]Formati 2.1 Sipas Tavaneve'!D29</f>
        <v>0</v>
      </c>
      <c r="D29" s="161">
        <f>'[7]Formati 2.1 Sipas Tavaneve'!E29</f>
        <v>0</v>
      </c>
      <c r="E29" s="161">
        <f>'[7]Formati 2.1 Sipas Tavaneve'!F29</f>
        <v>0</v>
      </c>
      <c r="F29" s="161">
        <f>'[7]Formati 2.1 Sipas Tavaneve'!G29</f>
        <v>0</v>
      </c>
    </row>
    <row r="30" spans="2:6" ht="15.75" thickBot="1" x14ac:dyDescent="0.3">
      <c r="B30" s="62" t="str">
        <f>'[7]Formati 2.1 Sipas Tavaneve'!C30</f>
        <v>Kosto totale (në mijë lekë)</v>
      </c>
      <c r="C30" s="161">
        <f>'[7]Formati 2.1 Sipas Tavaneve'!D30</f>
        <v>8492</v>
      </c>
      <c r="D30" s="161">
        <f>'[7]Formati 2.1 Sipas Tavaneve'!E30</f>
        <v>8528</v>
      </c>
      <c r="E30" s="161">
        <f>'[7]Formati 2.1 Sipas Tavaneve'!F30</f>
        <v>8565.08</v>
      </c>
      <c r="F30" s="164">
        <f>'[7]Formati 2.1 Sipas Tavaneve'!G30</f>
        <v>8603.27</v>
      </c>
    </row>
    <row r="31" spans="2:6" ht="15.75" thickBot="1" x14ac:dyDescent="0.3">
      <c r="B31" s="62" t="str">
        <f>'[7]Formati 2.1 Sipas Tavaneve'!C31</f>
        <v>Kosto për njësi (në mijë lekë)</v>
      </c>
      <c r="C31" s="161" t="e">
        <f>'[7]Formati 2.1 Sipas Tavaneve'!D31</f>
        <v>#DIV/0!</v>
      </c>
      <c r="D31" s="161" t="e">
        <f>'[7]Formati 2.1 Sipas Tavaneve'!E31</f>
        <v>#DIV/0!</v>
      </c>
      <c r="E31" s="161" t="e">
        <f>'[7]Formati 2.1 Sipas Tavaneve'!F31</f>
        <v>#DIV/0!</v>
      </c>
      <c r="F31" s="161" t="e">
        <f>'[7]Formati 2.1 Sipas Tavaneve'!G31</f>
        <v>#DIV/0!</v>
      </c>
    </row>
    <row r="32" spans="2:6" ht="15.75" thickBot="1" x14ac:dyDescent="0.3">
      <c r="B32" s="62" t="str">
        <f>'[7]Formati 2.1 Sipas Tavaneve'!C32</f>
        <v xml:space="preserve">Ndryshimi në % i Sasisë  </v>
      </c>
      <c r="C32" s="636" t="str">
        <f>'[7]Formati 2.1 Sipas Tavaneve'!D32</f>
        <v>…</v>
      </c>
      <c r="D32" s="162" t="e">
        <f>'[7]Formati 2.1 Sipas Tavaneve'!E32</f>
        <v>#DIV/0!</v>
      </c>
      <c r="E32" s="162" t="e">
        <f>'[7]Formati 2.1 Sipas Tavaneve'!F32</f>
        <v>#DIV/0!</v>
      </c>
      <c r="F32" s="162" t="e">
        <f>'[7]Formati 2.1 Sipas Tavaneve'!G32</f>
        <v>#DIV/0!</v>
      </c>
    </row>
    <row r="33" spans="2:6" ht="15.75" thickBot="1" x14ac:dyDescent="0.3">
      <c r="B33" s="62" t="str">
        <f>'[7]Formati 2.1 Sipas Tavaneve'!C33</f>
        <v xml:space="preserve">Ndryshimi në % i kostos totale  </v>
      </c>
      <c r="C33" s="636" t="str">
        <f>'[7]Formati 2.1 Sipas Tavaneve'!D33</f>
        <v>…</v>
      </c>
      <c r="D33" s="162">
        <f>'[7]Formati 2.1 Sipas Tavaneve'!E33</f>
        <v>4.2392840320302216E-3</v>
      </c>
      <c r="E33" s="162">
        <f>'[7]Formati 2.1 Sipas Tavaneve'!F33</f>
        <v>4.3480300187617171E-3</v>
      </c>
      <c r="F33" s="162">
        <f>'[7]Formati 2.1 Sipas Tavaneve'!G33</f>
        <v>4.4588024863749798E-3</v>
      </c>
    </row>
    <row r="34" spans="2:6" ht="15.75" thickBot="1" x14ac:dyDescent="0.3">
      <c r="B34" s="62" t="str">
        <f>'[7]Formati 2.1 Sipas Tavaneve'!C34</f>
        <v>Ndryshimi në % i kostos për njësi</v>
      </c>
      <c r="C34" s="636" t="str">
        <f>'[7]Formati 2.1 Sipas Tavaneve'!D34</f>
        <v>…</v>
      </c>
      <c r="D34" s="162" t="e">
        <f>'[7]Formati 2.1 Sipas Tavaneve'!E34</f>
        <v>#DIV/0!</v>
      </c>
      <c r="E34" s="162" t="e">
        <f>'[7]Formati 2.1 Sipas Tavaneve'!F34</f>
        <v>#DIV/0!</v>
      </c>
      <c r="F34" s="162" t="e">
        <f>'[7]Formati 2.1 Sipas Tavaneve'!G34</f>
        <v>#DIV/0!</v>
      </c>
    </row>
    <row r="35" spans="2:6" ht="15.75" customHeight="1" thickBot="1" x14ac:dyDescent="0.3">
      <c r="B35" s="1000" t="str">
        <f>'[7]Formati 2.1 Sipas Tavaneve'!C35</f>
        <v>Detajimi i Kostos Totale të Produktit 1 sipas Artikujve Ekonomikë</v>
      </c>
      <c r="C35" s="1001"/>
      <c r="D35" s="1001"/>
      <c r="E35" s="1001"/>
      <c r="F35" s="1002"/>
    </row>
    <row r="36" spans="2:6" x14ac:dyDescent="0.25">
      <c r="B36" s="998">
        <f>'[7]Formati 2.1 Sipas Tavaneve'!C36</f>
        <v>0</v>
      </c>
      <c r="C36" s="63">
        <f>'[7]Formati 2.1 Sipas Tavaneve'!D36</f>
        <v>2018</v>
      </c>
      <c r="D36" s="63">
        <f>'[7]Formati 2.1 Sipas Tavaneve'!E36</f>
        <v>2019</v>
      </c>
      <c r="E36" s="63">
        <f>'[7]Formati 2.1 Sipas Tavaneve'!F36</f>
        <v>2020</v>
      </c>
      <c r="F36" s="63">
        <f>'[7]Formati 2.1 Sipas Tavaneve'!G36</f>
        <v>2021</v>
      </c>
    </row>
    <row r="37" spans="2:6" ht="15.75" thickBot="1" x14ac:dyDescent="0.3">
      <c r="B37" s="999"/>
      <c r="C37" s="64" t="str">
        <f>'[7]Formati 2.1 Sipas Tavaneve'!D37</f>
        <v>Buxheti</v>
      </c>
      <c r="D37" s="64" t="str">
        <f>'[7]Formati 2.1 Sipas Tavaneve'!E37</f>
        <v>Parashikimi</v>
      </c>
      <c r="E37" s="64" t="str">
        <f>'[7]Formati 2.1 Sipas Tavaneve'!F37</f>
        <v>Parashikimi</v>
      </c>
      <c r="F37" s="64" t="str">
        <f>'[7]Formati 2.1 Sipas Tavaneve'!G37</f>
        <v>Parashikimi</v>
      </c>
    </row>
    <row r="38" spans="2:6" ht="15.75" thickBot="1" x14ac:dyDescent="0.3">
      <c r="B38" s="65" t="str">
        <f>'[7]Formati 2.1 Sipas Tavaneve'!C38</f>
        <v xml:space="preserve">600. Pagat </v>
      </c>
      <c r="C38" s="164">
        <f>'[7]Formati 2.1 Sipas Tavaneve'!D38</f>
        <v>6415</v>
      </c>
      <c r="D38" s="164">
        <f>'[7]Formati 2.1 Sipas Tavaneve'!E38</f>
        <v>6415</v>
      </c>
      <c r="E38" s="164">
        <f>'[7]Formati 2.1 Sipas Tavaneve'!F38</f>
        <v>6415</v>
      </c>
      <c r="F38" s="164">
        <f>'[7]Formati 2.1 Sipas Tavaneve'!G38</f>
        <v>6415</v>
      </c>
    </row>
    <row r="39" spans="2:6" ht="15.75" thickBot="1" x14ac:dyDescent="0.3">
      <c r="B39" s="65" t="str">
        <f>'[7]Formati 2.1 Sipas Tavaneve'!C39</f>
        <v>601. Sigurimet Shoqërore dhe Shendetësore</v>
      </c>
      <c r="C39" s="164">
        <f>'[7]Formati 2.1 Sipas Tavaneve'!D39</f>
        <v>877</v>
      </c>
      <c r="D39" s="164">
        <f>'[7]Formati 2.1 Sipas Tavaneve'!E39</f>
        <v>877</v>
      </c>
      <c r="E39" s="164">
        <f>'[7]Formati 2.1 Sipas Tavaneve'!F39</f>
        <v>877</v>
      </c>
      <c r="F39" s="164">
        <f>'[7]Formati 2.1 Sipas Tavaneve'!G39</f>
        <v>877</v>
      </c>
    </row>
    <row r="40" spans="2:6" ht="15.75" thickBot="1" x14ac:dyDescent="0.3">
      <c r="B40" s="65" t="str">
        <f>'[7]Formati 2.1 Sipas Tavaneve'!C40</f>
        <v xml:space="preserve">602. Mallrat dhe shërbimet </v>
      </c>
      <c r="C40" s="165">
        <f>'[7]Formati 2.1 Sipas Tavaneve'!D40</f>
        <v>1200</v>
      </c>
      <c r="D40" s="165">
        <f>'[7]Formati 2.1 Sipas Tavaneve'!E40</f>
        <v>1236</v>
      </c>
      <c r="E40" s="165">
        <f>'[7]Formati 2.1 Sipas Tavaneve'!F40</f>
        <v>1273.08</v>
      </c>
      <c r="F40" s="164">
        <f>'[7]Formati 2.1 Sipas Tavaneve'!G40</f>
        <v>1311.2724000000001</v>
      </c>
    </row>
    <row r="41" spans="2:6" ht="15.75" thickBot="1" x14ac:dyDescent="0.3">
      <c r="B41" s="65" t="str">
        <f>'[7]Formati 2.1 Sipas Tavaneve'!C41</f>
        <v xml:space="preserve">603. Subvencionet </v>
      </c>
      <c r="C41" s="165">
        <f>'[7]Formati 2.1 Sipas Tavaneve'!D41</f>
        <v>0</v>
      </c>
      <c r="D41" s="165">
        <f>'[7]Formati 2.1 Sipas Tavaneve'!E41</f>
        <v>0</v>
      </c>
      <c r="E41" s="165">
        <f>'[7]Formati 2.1 Sipas Tavaneve'!F41</f>
        <v>0</v>
      </c>
      <c r="F41" s="164">
        <f>'[7]Formati 2.1 Sipas Tavaneve'!G41</f>
        <v>0</v>
      </c>
    </row>
    <row r="42" spans="2:6" ht="15.75" thickBot="1" x14ac:dyDescent="0.3">
      <c r="B42" s="65" t="str">
        <f>'[7]Formati 2.1 Sipas Tavaneve'!C42</f>
        <v>604. Transferta të brendshme</v>
      </c>
      <c r="C42" s="165">
        <f>'[7]Formati 2.1 Sipas Tavaneve'!D42</f>
        <v>0</v>
      </c>
      <c r="D42" s="165">
        <f>'[7]Formati 2.1 Sipas Tavaneve'!E42</f>
        <v>0</v>
      </c>
      <c r="E42" s="165">
        <f>'[7]Formati 2.1 Sipas Tavaneve'!F42</f>
        <v>0</v>
      </c>
      <c r="F42" s="164">
        <f>'[7]Formati 2.1 Sipas Tavaneve'!G42</f>
        <v>0</v>
      </c>
    </row>
    <row r="43" spans="2:6" ht="15.75" thickBot="1" x14ac:dyDescent="0.3">
      <c r="B43" s="65" t="str">
        <f>'[7]Formati 2.1 Sipas Tavaneve'!C43</f>
        <v>605. Transferta të jashtme</v>
      </c>
      <c r="C43" s="165">
        <f>'[7]Formati 2.1 Sipas Tavaneve'!D43</f>
        <v>0</v>
      </c>
      <c r="D43" s="165">
        <f>'[7]Formati 2.1 Sipas Tavaneve'!E43</f>
        <v>0</v>
      </c>
      <c r="E43" s="165">
        <f>'[7]Formati 2.1 Sipas Tavaneve'!F43</f>
        <v>0</v>
      </c>
      <c r="F43" s="164">
        <f>'[7]Formati 2.1 Sipas Tavaneve'!G43</f>
        <v>0</v>
      </c>
    </row>
    <row r="44" spans="2:6" ht="15.75" thickBot="1" x14ac:dyDescent="0.3">
      <c r="B44" s="65" t="str">
        <f>'[7]Formati 2.1 Sipas Tavaneve'!C44</f>
        <v xml:space="preserve">606. Transferta për familjet dhe individët </v>
      </c>
      <c r="C44" s="165">
        <f>'[7]Formati 2.1 Sipas Tavaneve'!D44</f>
        <v>0</v>
      </c>
      <c r="D44" s="165">
        <f>'[7]Formati 2.1 Sipas Tavaneve'!E44</f>
        <v>0</v>
      </c>
      <c r="E44" s="165">
        <f>'[7]Formati 2.1 Sipas Tavaneve'!F44</f>
        <v>0</v>
      </c>
      <c r="F44" s="164">
        <f>'[7]Formati 2.1 Sipas Tavaneve'!G44</f>
        <v>0</v>
      </c>
    </row>
    <row r="45" spans="2:6" ht="15.75" thickBot="1" x14ac:dyDescent="0.3">
      <c r="B45" s="66" t="str">
        <f>'[7]Formati 2.1 Sipas Tavaneve'!C45</f>
        <v>Kosto totale e produktit 1</v>
      </c>
      <c r="C45" s="672">
        <f>'[7]Formati 2.1 Sipas Tavaneve'!D45</f>
        <v>8492</v>
      </c>
      <c r="D45" s="672">
        <f>'[7]Formati 2.1 Sipas Tavaneve'!E45</f>
        <v>8528</v>
      </c>
      <c r="E45" s="672">
        <f>'[7]Formati 2.1 Sipas Tavaneve'!F45</f>
        <v>8565.08</v>
      </c>
      <c r="F45" s="164">
        <f>'[7]Formati 2.1 Sipas Tavaneve'!G45</f>
        <v>8603.2723999999998</v>
      </c>
    </row>
    <row r="46" spans="2:6" ht="15.75" thickBot="1" x14ac:dyDescent="0.3">
      <c r="B46" s="166" t="str">
        <f>'[7]Formati 2.1 Sipas Tavaneve'!C46</f>
        <v>Kontroll</v>
      </c>
      <c r="C46" s="167">
        <f>'[7]Formati 2.1 Sipas Tavaneve'!D46</f>
        <v>0</v>
      </c>
      <c r="D46" s="167">
        <f>'[7]Formati 2.1 Sipas Tavaneve'!E46</f>
        <v>0</v>
      </c>
      <c r="E46" s="167">
        <f>'[7]Formati 2.1 Sipas Tavaneve'!F46</f>
        <v>0</v>
      </c>
      <c r="F46" s="167" t="str">
        <f>'[7]Formati 2.1 Sipas Tavaneve'!G46</f>
        <v>Error</v>
      </c>
    </row>
    <row r="47" spans="2:6" ht="37.5" customHeight="1" thickBot="1" x14ac:dyDescent="0.3">
      <c r="B47" s="218" t="str">
        <f>'[7]Formati 2.1 Sipas Tavaneve'!C47</f>
        <v>Produkti 2</v>
      </c>
      <c r="C47" s="1550" t="str">
        <f>'[7]Formati 2.1 Sipas Tavaneve'!D47</f>
        <v xml:space="preserve"> Sistemi i integruar i informacionit mbi burimet ujore i populluar me te dhena per 6 basenet ujore </v>
      </c>
      <c r="D47" s="1551"/>
      <c r="E47" s="1551"/>
      <c r="F47" s="1552"/>
    </row>
    <row r="48" spans="2:6" ht="53.25" customHeight="1" thickBot="1" x14ac:dyDescent="0.3">
      <c r="B48" s="62" t="str">
        <f>'[7]Formati 2.1 Sipas Tavaneve'!C48</f>
        <v>Përshkrimi i Produktit:</v>
      </c>
      <c r="C48" s="1069" t="str">
        <f>'[7]Formati 2.1 Sipas Tavaneve'!D48</f>
        <v>Permiresimi i sistemit te integruar te informacionit me qellim perdorimin e te dhenave qe lidhen me burimet ujore nga te gjithe aktoret qe kane lidhje direkte ose indirekte me sektorin e ujit nepermejet angazhimit te strukturave ne nivel baseni ujor.</v>
      </c>
      <c r="D48" s="1070"/>
      <c r="E48" s="1070"/>
      <c r="F48" s="1071"/>
    </row>
    <row r="49" spans="2:6" ht="15.75" thickBot="1" x14ac:dyDescent="0.3">
      <c r="B49" s="62" t="str">
        <f>'[7]Formati 2.1 Sipas Tavaneve'!C49</f>
        <v>Njësia Matëse</v>
      </c>
      <c r="C49" s="1553" t="str">
        <f>'[7]Formati 2.1 Sipas Tavaneve'!D49</f>
        <v>Sasia e informacionit te hedhur në %</v>
      </c>
      <c r="D49" s="1554"/>
      <c r="E49" s="1554"/>
      <c r="F49" s="1555"/>
    </row>
    <row r="50" spans="2:6" ht="15.75" thickBot="1" x14ac:dyDescent="0.3">
      <c r="B50" s="62" t="str">
        <f>'[7]Formati 2.1 Sipas Tavaneve'!C50</f>
        <v>Sasia</v>
      </c>
      <c r="C50" s="161">
        <f>'[7]Formati 2.1 Sipas Tavaneve'!D50</f>
        <v>0</v>
      </c>
      <c r="D50" s="161">
        <f>'[7]Formati 2.1 Sipas Tavaneve'!E50</f>
        <v>0</v>
      </c>
      <c r="E50" s="161">
        <f>'[7]Formati 2.1 Sipas Tavaneve'!F50</f>
        <v>0</v>
      </c>
      <c r="F50" s="161">
        <f>'[7]Formati 2.1 Sipas Tavaneve'!G50</f>
        <v>0</v>
      </c>
    </row>
    <row r="51" spans="2:6" x14ac:dyDescent="0.25">
      <c r="B51" s="998">
        <f>'[7]Formati 2.1 Sipas Tavaneve'!C51</f>
        <v>0</v>
      </c>
      <c r="C51" s="63">
        <f>'[7]Formati 2.1 Sipas Tavaneve'!D51</f>
        <v>2018</v>
      </c>
      <c r="D51" s="63">
        <f>'[7]Formati 2.1 Sipas Tavaneve'!E51</f>
        <v>2019</v>
      </c>
      <c r="E51" s="63">
        <f>'[7]Formati 2.1 Sipas Tavaneve'!F51</f>
        <v>2020</v>
      </c>
      <c r="F51" s="63">
        <f>'[7]Formati 2.1 Sipas Tavaneve'!G51</f>
        <v>2021</v>
      </c>
    </row>
    <row r="52" spans="2:6" ht="15.75" thickBot="1" x14ac:dyDescent="0.3">
      <c r="B52" s="999"/>
      <c r="C52" s="64" t="str">
        <f>'[7]Formati 2.1 Sipas Tavaneve'!D52</f>
        <v>Buxheti</v>
      </c>
      <c r="D52" s="64" t="str">
        <f>'[7]Formati 2.1 Sipas Tavaneve'!E52</f>
        <v>Parashikimi</v>
      </c>
      <c r="E52" s="64" t="str">
        <f>'[7]Formati 2.1 Sipas Tavaneve'!F52</f>
        <v>Parashikimi</v>
      </c>
      <c r="F52" s="64" t="str">
        <f>'[7]Formati 2.1 Sipas Tavaneve'!G52</f>
        <v>Parashikimi</v>
      </c>
    </row>
    <row r="53" spans="2:6" ht="15.75" thickBot="1" x14ac:dyDescent="0.3">
      <c r="B53" s="62" t="str">
        <f>'[7]Formati 2.1 Sipas Tavaneve'!C53</f>
        <v>Kosto totale (në mijë lekë)</v>
      </c>
      <c r="C53" s="161">
        <f>'[7]Formati 2.1 Sipas Tavaneve'!D53</f>
        <v>13385</v>
      </c>
      <c r="D53" s="161">
        <f>'[7]Formati 2.1 Sipas Tavaneve'!E53</f>
        <v>13445</v>
      </c>
      <c r="E53" s="161">
        <f>'[7]Formati 2.1 Sipas Tavaneve'!F53</f>
        <v>13506.8</v>
      </c>
      <c r="F53" s="161">
        <f>'[7]Formati 2.1 Sipas Tavaneve'!G53</f>
        <v>13570</v>
      </c>
    </row>
    <row r="54" spans="2:6" ht="15.75" thickBot="1" x14ac:dyDescent="0.3">
      <c r="B54" s="62" t="str">
        <f>'[7]Formati 2.1 Sipas Tavaneve'!C54</f>
        <v>Kosto për njësi (në mijë lekë)</v>
      </c>
      <c r="C54" s="161" t="e">
        <f>'[7]Formati 2.1 Sipas Tavaneve'!D54</f>
        <v>#DIV/0!</v>
      </c>
      <c r="D54" s="161" t="e">
        <f>'[7]Formati 2.1 Sipas Tavaneve'!E54</f>
        <v>#DIV/0!</v>
      </c>
      <c r="E54" s="161" t="e">
        <f>'[7]Formati 2.1 Sipas Tavaneve'!F54</f>
        <v>#DIV/0!</v>
      </c>
      <c r="F54" s="161" t="e">
        <f>'[7]Formati 2.1 Sipas Tavaneve'!G54</f>
        <v>#DIV/0!</v>
      </c>
    </row>
    <row r="55" spans="2:6" ht="15.75" thickBot="1" x14ac:dyDescent="0.3">
      <c r="B55" s="62" t="str">
        <f>'[7]Formati 2.1 Sipas Tavaneve'!C55</f>
        <v xml:space="preserve">Ndryshimi në % i Sasisë  </v>
      </c>
      <c r="C55" s="636">
        <f>'[7]Formati 2.1 Sipas Tavaneve'!D55</f>
        <v>0</v>
      </c>
      <c r="D55" s="162" t="e">
        <f>'[7]Formati 2.1 Sipas Tavaneve'!E55</f>
        <v>#DIV/0!</v>
      </c>
      <c r="E55" s="162" t="e">
        <f>'[7]Formati 2.1 Sipas Tavaneve'!F55</f>
        <v>#DIV/0!</v>
      </c>
      <c r="F55" s="162" t="e">
        <f>'[7]Formati 2.1 Sipas Tavaneve'!G55</f>
        <v>#DIV/0!</v>
      </c>
    </row>
    <row r="56" spans="2:6" ht="15.75" thickBot="1" x14ac:dyDescent="0.3">
      <c r="B56" s="62" t="str">
        <f>'[7]Formati 2.1 Sipas Tavaneve'!C56</f>
        <v xml:space="preserve">Ndryshimi në % i kostos totale  </v>
      </c>
      <c r="C56" s="636">
        <f>'[7]Formati 2.1 Sipas Tavaneve'!D56</f>
        <v>0</v>
      </c>
      <c r="D56" s="162">
        <f>'[7]Formati 2.1 Sipas Tavaneve'!E56</f>
        <v>4.4826298094882144E-3</v>
      </c>
      <c r="E56" s="162">
        <f>'[7]Formati 2.1 Sipas Tavaneve'!F56</f>
        <v>4.596504276682678E-3</v>
      </c>
      <c r="F56" s="162">
        <f>'[7]Formati 2.1 Sipas Tavaneve'!G56</f>
        <v>4.6791245890958066E-3</v>
      </c>
    </row>
    <row r="57" spans="2:6" ht="15.75" thickBot="1" x14ac:dyDescent="0.3">
      <c r="B57" s="62" t="str">
        <f>'[7]Formati 2.1 Sipas Tavaneve'!C57</f>
        <v>Ndryshimi në % i kostos për njësi</v>
      </c>
      <c r="C57" s="636">
        <f>'[7]Formati 2.1 Sipas Tavaneve'!D57</f>
        <v>0</v>
      </c>
      <c r="D57" s="162" t="e">
        <f>'[7]Formati 2.1 Sipas Tavaneve'!E57</f>
        <v>#DIV/0!</v>
      </c>
      <c r="E57" s="162" t="e">
        <f>'[7]Formati 2.1 Sipas Tavaneve'!F57</f>
        <v>#DIV/0!</v>
      </c>
      <c r="F57" s="162" t="e">
        <f>'[7]Formati 2.1 Sipas Tavaneve'!G57</f>
        <v>#DIV/0!</v>
      </c>
    </row>
    <row r="58" spans="2:6" ht="15.75" customHeight="1" thickBot="1" x14ac:dyDescent="0.3">
      <c r="B58" s="1000" t="str">
        <f>'[7]Formati 2.1 Sipas Tavaneve'!C58</f>
        <v>Detajimi i Kostos Totale të Produktit 2 sipas Artikujve Ekonomikë</v>
      </c>
      <c r="C58" s="1001"/>
      <c r="D58" s="1001"/>
      <c r="E58" s="1001"/>
      <c r="F58" s="1002"/>
    </row>
    <row r="59" spans="2:6" x14ac:dyDescent="0.25">
      <c r="B59" s="998">
        <f>'[7]Formati 2.1 Sipas Tavaneve'!C59</f>
        <v>0</v>
      </c>
      <c r="C59" s="63">
        <f>'[7]Formati 2.1 Sipas Tavaneve'!D59</f>
        <v>2018</v>
      </c>
      <c r="D59" s="63">
        <f>'[7]Formati 2.1 Sipas Tavaneve'!E59</f>
        <v>2019</v>
      </c>
      <c r="E59" s="63">
        <f>'[7]Formati 2.1 Sipas Tavaneve'!F59</f>
        <v>2020</v>
      </c>
      <c r="F59" s="63">
        <f>'[7]Formati 2.1 Sipas Tavaneve'!G59</f>
        <v>2021</v>
      </c>
    </row>
    <row r="60" spans="2:6" ht="15.75" thickBot="1" x14ac:dyDescent="0.3">
      <c r="B60" s="999"/>
      <c r="C60" s="64" t="str">
        <f>'[7]Formati 2.1 Sipas Tavaneve'!D60</f>
        <v>Buxheti</v>
      </c>
      <c r="D60" s="64" t="str">
        <f>'[7]Formati 2.1 Sipas Tavaneve'!E60</f>
        <v>Parashikimi</v>
      </c>
      <c r="E60" s="64" t="str">
        <f>'[7]Formati 2.1 Sipas Tavaneve'!F60</f>
        <v>Parashikimi</v>
      </c>
      <c r="F60" s="64" t="str">
        <f>'[7]Formati 2.1 Sipas Tavaneve'!G60</f>
        <v>Parashikimi</v>
      </c>
    </row>
    <row r="61" spans="2:6" ht="15.75" thickBot="1" x14ac:dyDescent="0.3">
      <c r="B61" s="65" t="str">
        <f>'[7]Formati 2.1 Sipas Tavaneve'!C61</f>
        <v xml:space="preserve">600. Pagat </v>
      </c>
      <c r="C61" s="164">
        <f>'[7]Formati 2.1 Sipas Tavaneve'!D61</f>
        <v>9910</v>
      </c>
      <c r="D61" s="164">
        <f>'[7]Formati 2.1 Sipas Tavaneve'!E61</f>
        <v>9910</v>
      </c>
      <c r="E61" s="164">
        <f>'[7]Formati 2.1 Sipas Tavaneve'!F61</f>
        <v>9910</v>
      </c>
      <c r="F61" s="164">
        <f>'[7]Formati 2.1 Sipas Tavaneve'!G61</f>
        <v>9910</v>
      </c>
    </row>
    <row r="62" spans="2:6" ht="15.75" thickBot="1" x14ac:dyDescent="0.3">
      <c r="B62" s="65" t="str">
        <f>'[7]Formati 2.1 Sipas Tavaneve'!C62</f>
        <v>601. Sigurimet Shoqërore dhe Shendetësore</v>
      </c>
      <c r="C62" s="164">
        <f>'[7]Formati 2.1 Sipas Tavaneve'!D62</f>
        <v>1475</v>
      </c>
      <c r="D62" s="164">
        <f>'[7]Formati 2.1 Sipas Tavaneve'!E62</f>
        <v>1475</v>
      </c>
      <c r="E62" s="164">
        <f>'[7]Formati 2.1 Sipas Tavaneve'!F62</f>
        <v>1475</v>
      </c>
      <c r="F62" s="164">
        <f>'[7]Formati 2.1 Sipas Tavaneve'!G62</f>
        <v>1475</v>
      </c>
    </row>
    <row r="63" spans="2:6" ht="15.75" thickBot="1" x14ac:dyDescent="0.3">
      <c r="B63" s="65" t="str">
        <f>'[7]Formati 2.1 Sipas Tavaneve'!C63</f>
        <v xml:space="preserve">602. Mallrat dhe shërbimet </v>
      </c>
      <c r="C63" s="165">
        <f>'[7]Formati 2.1 Sipas Tavaneve'!D63</f>
        <v>2000</v>
      </c>
      <c r="D63" s="165">
        <f>'[7]Formati 2.1 Sipas Tavaneve'!E63</f>
        <v>2060</v>
      </c>
      <c r="E63" s="164">
        <f>'[7]Formati 2.1 Sipas Tavaneve'!F63</f>
        <v>2121.8000000000002</v>
      </c>
      <c r="F63" s="164">
        <f>'[7]Formati 2.1 Sipas Tavaneve'!G63</f>
        <v>2185.0040000000004</v>
      </c>
    </row>
    <row r="64" spans="2:6" ht="15.75" thickBot="1" x14ac:dyDescent="0.3">
      <c r="B64" s="65" t="str">
        <f>'[7]Formati 2.1 Sipas Tavaneve'!C64</f>
        <v xml:space="preserve">603. Subvencionet </v>
      </c>
      <c r="C64" s="672">
        <f>'[7]Formati 2.1 Sipas Tavaneve'!D64</f>
        <v>0</v>
      </c>
      <c r="D64" s="672">
        <f>'[7]Formati 2.1 Sipas Tavaneve'!E64</f>
        <v>0</v>
      </c>
      <c r="E64" s="164">
        <f>'[7]Formati 2.1 Sipas Tavaneve'!F64</f>
        <v>0</v>
      </c>
      <c r="F64" s="164">
        <f>'[7]Formati 2.1 Sipas Tavaneve'!G64</f>
        <v>0</v>
      </c>
    </row>
    <row r="65" spans="2:6" ht="15.75" thickBot="1" x14ac:dyDescent="0.3">
      <c r="B65" s="65" t="str">
        <f>'[7]Formati 2.1 Sipas Tavaneve'!C65</f>
        <v>604. Transferta të brendshme</v>
      </c>
      <c r="C65" s="672">
        <f>'[7]Formati 2.1 Sipas Tavaneve'!D65</f>
        <v>0</v>
      </c>
      <c r="D65" s="672">
        <f>'[7]Formati 2.1 Sipas Tavaneve'!E65</f>
        <v>0</v>
      </c>
      <c r="E65" s="164">
        <f>'[7]Formati 2.1 Sipas Tavaneve'!F65</f>
        <v>0</v>
      </c>
      <c r="F65" s="164">
        <f>'[7]Formati 2.1 Sipas Tavaneve'!G65</f>
        <v>0</v>
      </c>
    </row>
    <row r="66" spans="2:6" ht="15.75" thickBot="1" x14ac:dyDescent="0.3">
      <c r="B66" s="65" t="str">
        <f>'[7]Formati 2.1 Sipas Tavaneve'!C66</f>
        <v>605. Transferta të jashtme</v>
      </c>
      <c r="C66" s="672">
        <f>'[7]Formati 2.1 Sipas Tavaneve'!D66</f>
        <v>0</v>
      </c>
      <c r="D66" s="672">
        <f>'[7]Formati 2.1 Sipas Tavaneve'!E66</f>
        <v>0</v>
      </c>
      <c r="E66" s="164">
        <f>'[7]Formati 2.1 Sipas Tavaneve'!F66</f>
        <v>0</v>
      </c>
      <c r="F66" s="164">
        <f>'[7]Formati 2.1 Sipas Tavaneve'!G66</f>
        <v>0</v>
      </c>
    </row>
    <row r="67" spans="2:6" ht="15.75" thickBot="1" x14ac:dyDescent="0.3">
      <c r="B67" s="65" t="str">
        <f>'[7]Formati 2.1 Sipas Tavaneve'!C67</f>
        <v xml:space="preserve">606. Transferta për familjet dhe individët </v>
      </c>
      <c r="C67" s="672">
        <f>'[7]Formati 2.1 Sipas Tavaneve'!D67</f>
        <v>0</v>
      </c>
      <c r="D67" s="672">
        <f>'[7]Formati 2.1 Sipas Tavaneve'!E67</f>
        <v>0</v>
      </c>
      <c r="E67" s="164">
        <f>'[7]Formati 2.1 Sipas Tavaneve'!F67</f>
        <v>0</v>
      </c>
      <c r="F67" s="164">
        <f>'[7]Formati 2.1 Sipas Tavaneve'!G67</f>
        <v>0</v>
      </c>
    </row>
    <row r="68" spans="2:6" ht="15.75" thickBot="1" x14ac:dyDescent="0.3">
      <c r="B68" s="196" t="str">
        <f>'[7]Formati 2.1 Sipas Tavaneve'!C68</f>
        <v>Kosto totale e produktit 2</v>
      </c>
      <c r="C68" s="165">
        <f>'[7]Formati 2.1 Sipas Tavaneve'!D68</f>
        <v>13385</v>
      </c>
      <c r="D68" s="165">
        <f>'[7]Formati 2.1 Sipas Tavaneve'!E68</f>
        <v>13445</v>
      </c>
      <c r="E68" s="164">
        <f>'[7]Formati 2.1 Sipas Tavaneve'!F68</f>
        <v>13506.8</v>
      </c>
      <c r="F68" s="164">
        <f>'[7]Formati 2.1 Sipas Tavaneve'!G68</f>
        <v>13570</v>
      </c>
    </row>
    <row r="69" spans="2:6" ht="15.75" thickBot="1" x14ac:dyDescent="0.3">
      <c r="B69" s="166" t="str">
        <f>'[7]Formati 2.1 Sipas Tavaneve'!C69</f>
        <v>Kontroll</v>
      </c>
      <c r="C69" s="167">
        <f>'[7]Formati 2.1 Sipas Tavaneve'!D69</f>
        <v>0</v>
      </c>
      <c r="D69" s="167">
        <f>'[7]Formati 2.1 Sipas Tavaneve'!E69</f>
        <v>0</v>
      </c>
      <c r="E69" s="167">
        <f>'[7]Formati 2.1 Sipas Tavaneve'!F69</f>
        <v>0</v>
      </c>
      <c r="F69" s="167">
        <f>'[7]Formati 2.1 Sipas Tavaneve'!G69</f>
        <v>0</v>
      </c>
    </row>
    <row r="70" spans="2:6" ht="33.75" customHeight="1" thickBot="1" x14ac:dyDescent="0.3">
      <c r="B70" s="218" t="str">
        <f>'[7]Formati 2.1 Sipas Tavaneve'!C70</f>
        <v>Produkti 3</v>
      </c>
      <c r="C70" s="983" t="str">
        <f>'[7]Formati 2.1 Sipas Tavaneve'!D70</f>
        <v>Inventari i perditesuar i informacionit financiar,  aseteve dhe burimeve njerezore te sektorit te ujit</v>
      </c>
      <c r="D70" s="984"/>
      <c r="E70" s="984"/>
      <c r="F70" s="985"/>
    </row>
    <row r="71" spans="2:6" ht="54" customHeight="1" thickBot="1" x14ac:dyDescent="0.3">
      <c r="B71" s="62" t="str">
        <f>'[7]Formati 2.1 Sipas Tavaneve'!C71</f>
        <v>Përshkrimi i Produktit:</v>
      </c>
      <c r="C71" s="1049" t="str">
        <f>'[7]Formati 2.1 Sipas Tavaneve'!D71</f>
        <v>Perditesimi i vazhdueshem i informacionit financiar lidhur me investimet dhe projektet e ndryshme, i aseteve ne perdorim dhe i burimeve njerezore me qellim hartimin e politikave te qendrueshme per forcimin dhe menaxhim e integruar te burimeve ujore.</v>
      </c>
      <c r="D71" s="1050"/>
      <c r="E71" s="1050"/>
      <c r="F71" s="1051"/>
    </row>
    <row r="72" spans="2:6" ht="15.75" thickBot="1" x14ac:dyDescent="0.3">
      <c r="B72" s="62" t="str">
        <f>'[7]Formati 2.1 Sipas Tavaneve'!C72</f>
        <v>Njësia Matëse</v>
      </c>
      <c r="C72" s="995" t="str">
        <f>'[7]Formati 2.1 Sipas Tavaneve'!D72</f>
        <v>Sasia e informacionit i shpehur në %</v>
      </c>
      <c r="D72" s="996"/>
      <c r="E72" s="996"/>
      <c r="F72" s="997"/>
    </row>
    <row r="73" spans="2:6" ht="15.75" thickBot="1" x14ac:dyDescent="0.3">
      <c r="B73" s="62" t="str">
        <f>'[7]Formati 2.1 Sipas Tavaneve'!C73</f>
        <v>Sasia</v>
      </c>
      <c r="C73" s="161">
        <f>'[7]Formati 2.1 Sipas Tavaneve'!D73</f>
        <v>0</v>
      </c>
      <c r="D73" s="161">
        <f>'[7]Formati 2.1 Sipas Tavaneve'!E73</f>
        <v>0</v>
      </c>
      <c r="E73" s="161">
        <f>'[7]Formati 2.1 Sipas Tavaneve'!F73</f>
        <v>0</v>
      </c>
      <c r="F73" s="161">
        <f>'[7]Formati 2.1 Sipas Tavaneve'!G73</f>
        <v>0</v>
      </c>
    </row>
    <row r="74" spans="2:6" x14ac:dyDescent="0.25">
      <c r="B74" s="998">
        <f>'[7]Formati 2.1 Sipas Tavaneve'!C74</f>
        <v>0</v>
      </c>
      <c r="C74" s="63">
        <f>'[7]Formati 2.1 Sipas Tavaneve'!D74</f>
        <v>2018</v>
      </c>
      <c r="D74" s="63">
        <f>'[7]Formati 2.1 Sipas Tavaneve'!E74</f>
        <v>2019</v>
      </c>
      <c r="E74" s="63">
        <f>'[7]Formati 2.1 Sipas Tavaneve'!F74</f>
        <v>2020</v>
      </c>
      <c r="F74" s="63">
        <f>'[7]Formati 2.1 Sipas Tavaneve'!G74</f>
        <v>2021</v>
      </c>
    </row>
    <row r="75" spans="2:6" ht="15.75" thickBot="1" x14ac:dyDescent="0.3">
      <c r="B75" s="999"/>
      <c r="C75" s="64" t="str">
        <f>'[7]Formati 2.1 Sipas Tavaneve'!D75</f>
        <v>Buxheti</v>
      </c>
      <c r="D75" s="64" t="str">
        <f>'[7]Formati 2.1 Sipas Tavaneve'!E75</f>
        <v>Parashikimi</v>
      </c>
      <c r="E75" s="64" t="str">
        <f>'[7]Formati 2.1 Sipas Tavaneve'!F75</f>
        <v>Parashikimi</v>
      </c>
      <c r="F75" s="64" t="str">
        <f>'[7]Formati 2.1 Sipas Tavaneve'!G75</f>
        <v>Parashikimi</v>
      </c>
    </row>
    <row r="76" spans="2:6" ht="15.75" thickBot="1" x14ac:dyDescent="0.3">
      <c r="B76" s="62" t="str">
        <f>'[7]Formati 2.1 Sipas Tavaneve'!C76</f>
        <v>Kosto totale (në mijë lekë)</v>
      </c>
      <c r="C76" s="161">
        <f>'[7]Formati 2.1 Sipas Tavaneve'!D76</f>
        <v>3851</v>
      </c>
      <c r="D76" s="161">
        <f>'[7]Formati 2.1 Sipas Tavaneve'!E76</f>
        <v>3869</v>
      </c>
      <c r="E76" s="161">
        <f>'[7]Formati 2.1 Sipas Tavaneve'!F76</f>
        <v>3887.54</v>
      </c>
      <c r="F76" s="161">
        <f>'[7]Formati 2.1 Sipas Tavaneve'!G76</f>
        <v>3907</v>
      </c>
    </row>
    <row r="77" spans="2:6" ht="15.75" thickBot="1" x14ac:dyDescent="0.3">
      <c r="B77" s="62" t="str">
        <f>'[7]Formati 2.1 Sipas Tavaneve'!C77</f>
        <v>Kosto për njësi (në mijë lekë)</v>
      </c>
      <c r="C77" s="161" t="e">
        <f>'[7]Formati 2.1 Sipas Tavaneve'!D77</f>
        <v>#DIV/0!</v>
      </c>
      <c r="D77" s="161" t="e">
        <f>'[7]Formati 2.1 Sipas Tavaneve'!E77</f>
        <v>#DIV/0!</v>
      </c>
      <c r="E77" s="161" t="e">
        <f>'[7]Formati 2.1 Sipas Tavaneve'!F77</f>
        <v>#DIV/0!</v>
      </c>
      <c r="F77" s="161" t="e">
        <f>'[7]Formati 2.1 Sipas Tavaneve'!G77</f>
        <v>#DIV/0!</v>
      </c>
    </row>
    <row r="78" spans="2:6" ht="15.75" thickBot="1" x14ac:dyDescent="0.3">
      <c r="B78" s="62" t="str">
        <f>'[7]Formati 2.1 Sipas Tavaneve'!C78</f>
        <v xml:space="preserve">Ndryshimi në % i Sasisë  </v>
      </c>
      <c r="C78" s="636">
        <f>'[7]Formati 2.1 Sipas Tavaneve'!D78</f>
        <v>0</v>
      </c>
      <c r="D78" s="162" t="e">
        <f>'[7]Formati 2.1 Sipas Tavaneve'!E78</f>
        <v>#DIV/0!</v>
      </c>
      <c r="E78" s="162" t="e">
        <f>'[7]Formati 2.1 Sipas Tavaneve'!F78</f>
        <v>#DIV/0!</v>
      </c>
      <c r="F78" s="162" t="e">
        <f>'[7]Formati 2.1 Sipas Tavaneve'!G78</f>
        <v>#DIV/0!</v>
      </c>
    </row>
    <row r="79" spans="2:6" ht="15.75" thickBot="1" x14ac:dyDescent="0.3">
      <c r="B79" s="62" t="str">
        <f>'[7]Formati 2.1 Sipas Tavaneve'!C79</f>
        <v xml:space="preserve">Ndryshimi në % i kostos totale  </v>
      </c>
      <c r="C79" s="636">
        <f>'[7]Formati 2.1 Sipas Tavaneve'!D79</f>
        <v>0</v>
      </c>
      <c r="D79" s="162">
        <f>'[7]Formati 2.1 Sipas Tavaneve'!E79</f>
        <v>4.674110620618066E-3</v>
      </c>
      <c r="E79" s="162">
        <f>'[7]Formati 2.1 Sipas Tavaneve'!F79</f>
        <v>4.7919359007495554E-3</v>
      </c>
      <c r="F79" s="162">
        <f>'[7]Formati 2.1 Sipas Tavaneve'!G79</f>
        <v>5.0057362753823664E-3</v>
      </c>
    </row>
    <row r="80" spans="2:6" ht="15.75" thickBot="1" x14ac:dyDescent="0.3">
      <c r="B80" s="62" t="str">
        <f>'[7]Formati 2.1 Sipas Tavaneve'!C80</f>
        <v>Ndryshimi në % i kostos për njësi</v>
      </c>
      <c r="C80" s="636">
        <f>'[7]Formati 2.1 Sipas Tavaneve'!D80</f>
        <v>0</v>
      </c>
      <c r="D80" s="162" t="e">
        <f>'[7]Formati 2.1 Sipas Tavaneve'!E80</f>
        <v>#DIV/0!</v>
      </c>
      <c r="E80" s="162" t="e">
        <f>'[7]Formati 2.1 Sipas Tavaneve'!F80</f>
        <v>#DIV/0!</v>
      </c>
      <c r="F80" s="162" t="e">
        <f>'[7]Formati 2.1 Sipas Tavaneve'!G80</f>
        <v>#DIV/0!</v>
      </c>
    </row>
    <row r="81" spans="2:6" ht="15.75" customHeight="1" thickBot="1" x14ac:dyDescent="0.3">
      <c r="B81" s="1000" t="str">
        <f>'[7]Formati 2.1 Sipas Tavaneve'!C81</f>
        <v>Detajimi i Kostos Totale të Produktit 3 sipas Artikujve Ekonomikë</v>
      </c>
      <c r="C81" s="1001"/>
      <c r="D81" s="1001"/>
      <c r="E81" s="1001"/>
      <c r="F81" s="1002"/>
    </row>
    <row r="82" spans="2:6" x14ac:dyDescent="0.25">
      <c r="B82" s="998">
        <f>'[7]Formati 2.1 Sipas Tavaneve'!C82</f>
        <v>0</v>
      </c>
      <c r="C82" s="63">
        <f>'[7]Formati 2.1 Sipas Tavaneve'!D82</f>
        <v>2018</v>
      </c>
      <c r="D82" s="63">
        <f>'[7]Formati 2.1 Sipas Tavaneve'!E82</f>
        <v>2019</v>
      </c>
      <c r="E82" s="63">
        <f>'[7]Formati 2.1 Sipas Tavaneve'!F82</f>
        <v>2020</v>
      </c>
      <c r="F82" s="63">
        <f>'[7]Formati 2.1 Sipas Tavaneve'!G82</f>
        <v>2021</v>
      </c>
    </row>
    <row r="83" spans="2:6" ht="15.75" thickBot="1" x14ac:dyDescent="0.3">
      <c r="B83" s="999"/>
      <c r="C83" s="64" t="str">
        <f>'[7]Formati 2.1 Sipas Tavaneve'!D83</f>
        <v>Buxheti</v>
      </c>
      <c r="D83" s="64" t="str">
        <f>'[7]Formati 2.1 Sipas Tavaneve'!E83</f>
        <v>Parashikimi</v>
      </c>
      <c r="E83" s="64" t="str">
        <f>'[7]Formati 2.1 Sipas Tavaneve'!F83</f>
        <v>Parashikimi</v>
      </c>
      <c r="F83" s="64" t="str">
        <f>'[7]Formati 2.1 Sipas Tavaneve'!G83</f>
        <v>Parashikimi</v>
      </c>
    </row>
    <row r="84" spans="2:6" ht="15.75" thickBot="1" x14ac:dyDescent="0.3">
      <c r="B84" s="65" t="str">
        <f>'[7]Formati 2.1 Sipas Tavaneve'!C84</f>
        <v xml:space="preserve">600. Pagat </v>
      </c>
      <c r="C84" s="164">
        <f>'[7]Formati 2.1 Sipas Tavaneve'!D84</f>
        <v>2860</v>
      </c>
      <c r="D84" s="164">
        <f>'[7]Formati 2.1 Sipas Tavaneve'!E84</f>
        <v>2860</v>
      </c>
      <c r="E84" s="164">
        <f>'[7]Formati 2.1 Sipas Tavaneve'!F84</f>
        <v>2860</v>
      </c>
      <c r="F84" s="164">
        <f>'[7]Formati 2.1 Sipas Tavaneve'!G84</f>
        <v>2860</v>
      </c>
    </row>
    <row r="85" spans="2:6" ht="15.75" thickBot="1" x14ac:dyDescent="0.3">
      <c r="B85" s="65" t="str">
        <f>'[7]Formati 2.1 Sipas Tavaneve'!C85</f>
        <v>601. Sigurimet Shoqërore dhe Shendetësore</v>
      </c>
      <c r="C85" s="164">
        <f>'[7]Formati 2.1 Sipas Tavaneve'!D85</f>
        <v>391</v>
      </c>
      <c r="D85" s="164">
        <f>'[7]Formati 2.1 Sipas Tavaneve'!E85</f>
        <v>391</v>
      </c>
      <c r="E85" s="164">
        <f>'[7]Formati 2.1 Sipas Tavaneve'!F85</f>
        <v>391</v>
      </c>
      <c r="F85" s="164">
        <f>'[7]Formati 2.1 Sipas Tavaneve'!G85</f>
        <v>391</v>
      </c>
    </row>
    <row r="86" spans="2:6" ht="15.75" thickBot="1" x14ac:dyDescent="0.3">
      <c r="B86" s="65" t="str">
        <f>'[7]Formati 2.1 Sipas Tavaneve'!C86</f>
        <v xml:space="preserve">602. Mallrat dhe shërbimet </v>
      </c>
      <c r="C86" s="165">
        <f>'[7]Formati 2.1 Sipas Tavaneve'!D86</f>
        <v>600</v>
      </c>
      <c r="D86" s="165">
        <f>'[7]Formati 2.1 Sipas Tavaneve'!E86</f>
        <v>618</v>
      </c>
      <c r="E86" s="165">
        <f>'[7]Formati 2.1 Sipas Tavaneve'!F86</f>
        <v>636.54</v>
      </c>
      <c r="F86" s="165">
        <f>'[7]Formati 2.1 Sipas Tavaneve'!G86</f>
        <v>655.63620000000003</v>
      </c>
    </row>
    <row r="87" spans="2:6" ht="15.75" thickBot="1" x14ac:dyDescent="0.3">
      <c r="B87" s="65" t="str">
        <f>'[7]Formati 2.1 Sipas Tavaneve'!C87</f>
        <v xml:space="preserve">603. Subvencionet </v>
      </c>
      <c r="C87" s="165">
        <f>'[7]Formati 2.1 Sipas Tavaneve'!D87</f>
        <v>0</v>
      </c>
      <c r="D87" s="165">
        <f>'[7]Formati 2.1 Sipas Tavaneve'!E87</f>
        <v>0</v>
      </c>
      <c r="E87" s="165">
        <f>'[7]Formati 2.1 Sipas Tavaneve'!F87</f>
        <v>0</v>
      </c>
      <c r="F87" s="165">
        <f>'[7]Formati 2.1 Sipas Tavaneve'!G87</f>
        <v>0</v>
      </c>
    </row>
    <row r="88" spans="2:6" ht="15.75" thickBot="1" x14ac:dyDescent="0.3">
      <c r="B88" s="65" t="str">
        <f>'[7]Formati 2.1 Sipas Tavaneve'!C88</f>
        <v>604. Transferta të brendshme</v>
      </c>
      <c r="C88" s="165">
        <f>'[7]Formati 2.1 Sipas Tavaneve'!D88</f>
        <v>0</v>
      </c>
      <c r="D88" s="165">
        <f>'[7]Formati 2.1 Sipas Tavaneve'!E88</f>
        <v>0</v>
      </c>
      <c r="E88" s="165">
        <f>'[7]Formati 2.1 Sipas Tavaneve'!F88</f>
        <v>0</v>
      </c>
      <c r="F88" s="165">
        <f>'[7]Formati 2.1 Sipas Tavaneve'!G88</f>
        <v>0</v>
      </c>
    </row>
    <row r="89" spans="2:6" ht="15.75" thickBot="1" x14ac:dyDescent="0.3">
      <c r="B89" s="65" t="str">
        <f>'[7]Formati 2.1 Sipas Tavaneve'!C89</f>
        <v>605. Transferta të jashtme</v>
      </c>
      <c r="C89" s="165">
        <f>'[7]Formati 2.1 Sipas Tavaneve'!D89</f>
        <v>0</v>
      </c>
      <c r="D89" s="165">
        <f>'[7]Formati 2.1 Sipas Tavaneve'!E89</f>
        <v>0</v>
      </c>
      <c r="E89" s="165">
        <f>'[7]Formati 2.1 Sipas Tavaneve'!F89</f>
        <v>0</v>
      </c>
      <c r="F89" s="165">
        <f>'[7]Formati 2.1 Sipas Tavaneve'!G89</f>
        <v>0</v>
      </c>
    </row>
    <row r="90" spans="2:6" ht="15.75" thickBot="1" x14ac:dyDescent="0.3">
      <c r="B90" s="65" t="str">
        <f>'[7]Formati 2.1 Sipas Tavaneve'!C90</f>
        <v xml:space="preserve">606. Transferta për familjet dhe individët </v>
      </c>
      <c r="C90" s="165">
        <f>'[7]Formati 2.1 Sipas Tavaneve'!D90</f>
        <v>0</v>
      </c>
      <c r="D90" s="165">
        <f>'[7]Formati 2.1 Sipas Tavaneve'!E90</f>
        <v>0</v>
      </c>
      <c r="E90" s="165">
        <f>'[7]Formati 2.1 Sipas Tavaneve'!F90</f>
        <v>0</v>
      </c>
      <c r="F90" s="165">
        <f>'[7]Formati 2.1 Sipas Tavaneve'!G90</f>
        <v>0</v>
      </c>
    </row>
    <row r="91" spans="2:6" ht="15.75" thickBot="1" x14ac:dyDescent="0.3">
      <c r="B91" s="196" t="str">
        <f>'[7]Formati 2.1 Sipas Tavaneve'!C91</f>
        <v>Kosto totale e produktit 3</v>
      </c>
      <c r="C91" s="165">
        <f>'[7]Formati 2.1 Sipas Tavaneve'!D91</f>
        <v>3851</v>
      </c>
      <c r="D91" s="165">
        <f>'[7]Formati 2.1 Sipas Tavaneve'!E91</f>
        <v>3869</v>
      </c>
      <c r="E91" s="164">
        <f>'[7]Formati 2.1 Sipas Tavaneve'!F91</f>
        <v>3887.54</v>
      </c>
      <c r="F91" s="164">
        <f>'[7]Formati 2.1 Sipas Tavaneve'!G91</f>
        <v>3907</v>
      </c>
    </row>
    <row r="92" spans="2:6" ht="15.75" thickBot="1" x14ac:dyDescent="0.3">
      <c r="B92" s="166" t="str">
        <f>'[7]Formati 2.1 Sipas Tavaneve'!C92</f>
        <v>Kontroll</v>
      </c>
      <c r="C92" s="167">
        <f>'[7]Formati 2.1 Sipas Tavaneve'!D92</f>
        <v>0</v>
      </c>
      <c r="D92" s="167">
        <f>'[7]Formati 2.1 Sipas Tavaneve'!E92</f>
        <v>0</v>
      </c>
      <c r="E92" s="167">
        <f>'[7]Formati 2.1 Sipas Tavaneve'!F92</f>
        <v>0</v>
      </c>
      <c r="F92" s="167">
        <f>'[7]Formati 2.1 Sipas Tavaneve'!G92</f>
        <v>0</v>
      </c>
    </row>
    <row r="93" spans="2:6" ht="35.25" customHeight="1" thickBot="1" x14ac:dyDescent="0.3">
      <c r="B93" s="218" t="str">
        <f>'[7]Formati 2.1 Sipas Tavaneve'!C93</f>
        <v>Produkti 4</v>
      </c>
      <c r="C93" s="983" t="str">
        <f>'[7]Formati 2.1 Sipas Tavaneve'!D93</f>
        <v>Mareveshjet nderkufitare me vendet fqinje per burimet e perbashketa ujore te nenshkruara dhe te miratuara</v>
      </c>
      <c r="D93" s="984"/>
      <c r="E93" s="984"/>
      <c r="F93" s="985"/>
    </row>
    <row r="94" spans="2:6" ht="39.75" customHeight="1" thickBot="1" x14ac:dyDescent="0.3">
      <c r="B94" s="62" t="str">
        <f>'[7]Formati 2.1 Sipas Tavaneve'!C94</f>
        <v>Përshkrimi i Produktit:</v>
      </c>
      <c r="C94" s="983" t="str">
        <f>'[7]Formati 2.1 Sipas Tavaneve'!D94</f>
        <v>Permiresimi I menaxhimit te burimeve ujore ne nivel nderkufitar ne bashkepunim me vendet fqinje  nepermjet zbatimit te kuadrit lgjor europian dhe konventave ndekombetare</v>
      </c>
      <c r="D94" s="984"/>
      <c r="E94" s="984"/>
      <c r="F94" s="985"/>
    </row>
    <row r="95" spans="2:6" ht="15.75" thickBot="1" x14ac:dyDescent="0.3">
      <c r="B95" s="62" t="str">
        <f>'[7]Formati 2.1 Sipas Tavaneve'!C95</f>
        <v>Njësia Matëse</v>
      </c>
      <c r="C95" s="1036" t="str">
        <f>'[7]Formati 2.1 Sipas Tavaneve'!D95</f>
        <v>Numer takimesh</v>
      </c>
      <c r="D95" s="1037"/>
      <c r="E95" s="1037"/>
      <c r="F95" s="1038"/>
    </row>
    <row r="96" spans="2:6" ht="15.75" thickBot="1" x14ac:dyDescent="0.3">
      <c r="B96" s="62" t="str">
        <f>'[7]Formati 2.1 Sipas Tavaneve'!C96</f>
        <v>Sasia</v>
      </c>
      <c r="C96" s="161">
        <f>'[7]Formati 2.1 Sipas Tavaneve'!D96</f>
        <v>0</v>
      </c>
      <c r="D96" s="161">
        <f>'[7]Formati 2.1 Sipas Tavaneve'!E96</f>
        <v>0</v>
      </c>
      <c r="E96" s="161">
        <f>'[7]Formati 2.1 Sipas Tavaneve'!F96</f>
        <v>0</v>
      </c>
      <c r="F96" s="161">
        <f>'[7]Formati 2.1 Sipas Tavaneve'!G96</f>
        <v>0</v>
      </c>
    </row>
    <row r="97" spans="2:6" x14ac:dyDescent="0.25">
      <c r="B97" s="998">
        <f>'[7]Formati 2.1 Sipas Tavaneve'!C97</f>
        <v>0</v>
      </c>
      <c r="C97" s="63">
        <f>'[7]Formati 2.1 Sipas Tavaneve'!D97</f>
        <v>2018</v>
      </c>
      <c r="D97" s="63">
        <f>'[7]Formati 2.1 Sipas Tavaneve'!E97</f>
        <v>2019</v>
      </c>
      <c r="E97" s="63">
        <f>'[7]Formati 2.1 Sipas Tavaneve'!F97</f>
        <v>2020</v>
      </c>
      <c r="F97" s="63">
        <f>'[7]Formati 2.1 Sipas Tavaneve'!G97</f>
        <v>2021</v>
      </c>
    </row>
    <row r="98" spans="2:6" ht="15.75" thickBot="1" x14ac:dyDescent="0.3">
      <c r="B98" s="999"/>
      <c r="C98" s="64" t="str">
        <f>'[7]Formati 2.1 Sipas Tavaneve'!D98</f>
        <v>Buxheti</v>
      </c>
      <c r="D98" s="64" t="str">
        <f>'[7]Formati 2.1 Sipas Tavaneve'!E98</f>
        <v>Parashikimi</v>
      </c>
      <c r="E98" s="64" t="str">
        <f>'[7]Formati 2.1 Sipas Tavaneve'!F98</f>
        <v>Parashikimi</v>
      </c>
      <c r="F98" s="64" t="str">
        <f>'[7]Formati 2.1 Sipas Tavaneve'!G98</f>
        <v>Parashikimi</v>
      </c>
    </row>
    <row r="99" spans="2:6" ht="15.75" thickBot="1" x14ac:dyDescent="0.3">
      <c r="B99" s="62" t="str">
        <f>'[7]Formati 2.1 Sipas Tavaneve'!C99</f>
        <v>Kosto totale (në mijë lekë)</v>
      </c>
      <c r="C99" s="161">
        <f>'[7]Formati 2.1 Sipas Tavaneve'!D99</f>
        <v>8493</v>
      </c>
      <c r="D99" s="161">
        <f>'[7]Formati 2.1 Sipas Tavaneve'!E99</f>
        <v>8529</v>
      </c>
      <c r="E99" s="161">
        <f>'[7]Formati 2.1 Sipas Tavaneve'!F99</f>
        <v>8566.08</v>
      </c>
      <c r="F99" s="161">
        <f>'[7]Formati 2.1 Sipas Tavaneve'!G99</f>
        <v>8604</v>
      </c>
    </row>
    <row r="100" spans="2:6" ht="15.75" thickBot="1" x14ac:dyDescent="0.3">
      <c r="B100" s="62" t="str">
        <f>'[7]Formati 2.1 Sipas Tavaneve'!C100</f>
        <v>Kosto për njësi (në mijë lekë)</v>
      </c>
      <c r="C100" s="161" t="e">
        <f>'[7]Formati 2.1 Sipas Tavaneve'!D100</f>
        <v>#DIV/0!</v>
      </c>
      <c r="D100" s="161" t="e">
        <f>'[7]Formati 2.1 Sipas Tavaneve'!E100</f>
        <v>#DIV/0!</v>
      </c>
      <c r="E100" s="161" t="e">
        <f>'[7]Formati 2.1 Sipas Tavaneve'!F100</f>
        <v>#DIV/0!</v>
      </c>
      <c r="F100" s="161" t="e">
        <f>'[7]Formati 2.1 Sipas Tavaneve'!G100</f>
        <v>#DIV/0!</v>
      </c>
    </row>
    <row r="101" spans="2:6" ht="15.75" thickBot="1" x14ac:dyDescent="0.3">
      <c r="B101" s="62" t="str">
        <f>'[7]Formati 2.1 Sipas Tavaneve'!C101</f>
        <v xml:space="preserve">Ndryshimi në % i Sasisë  </v>
      </c>
      <c r="C101" s="636">
        <f>'[7]Formati 2.1 Sipas Tavaneve'!D101</f>
        <v>0</v>
      </c>
      <c r="D101" s="162" t="e">
        <f>'[7]Formati 2.1 Sipas Tavaneve'!E101</f>
        <v>#DIV/0!</v>
      </c>
      <c r="E101" s="162" t="e">
        <f>'[7]Formati 2.1 Sipas Tavaneve'!F101</f>
        <v>#DIV/0!</v>
      </c>
      <c r="F101" s="162" t="e">
        <f>'[7]Formati 2.1 Sipas Tavaneve'!G101</f>
        <v>#DIV/0!</v>
      </c>
    </row>
    <row r="102" spans="2:6" ht="15.75" thickBot="1" x14ac:dyDescent="0.3">
      <c r="B102" s="62" t="str">
        <f>'[7]Formati 2.1 Sipas Tavaneve'!C102</f>
        <v xml:space="preserve">Ndryshimi në % i kostos totale  </v>
      </c>
      <c r="C102" s="636">
        <f>'[7]Formati 2.1 Sipas Tavaneve'!D102</f>
        <v>0</v>
      </c>
      <c r="D102" s="162">
        <f>'[7]Formati 2.1 Sipas Tavaneve'!E102</f>
        <v>4.2387848816671791E-3</v>
      </c>
      <c r="E102" s="162">
        <f>'[7]Formati 2.1 Sipas Tavaneve'!F102</f>
        <v>4.3475202251141987E-3</v>
      </c>
      <c r="F102" s="162">
        <f>'[7]Formati 2.1 Sipas Tavaneve'!G102</f>
        <v>4.42676229967498E-3</v>
      </c>
    </row>
    <row r="103" spans="2:6" ht="15.75" thickBot="1" x14ac:dyDescent="0.3">
      <c r="B103" s="62" t="str">
        <f>'[7]Formati 2.1 Sipas Tavaneve'!C103</f>
        <v>Ndryshimi në % i kostos për njësi</v>
      </c>
      <c r="C103" s="636">
        <f>'[7]Formati 2.1 Sipas Tavaneve'!D103</f>
        <v>0</v>
      </c>
      <c r="D103" s="162" t="e">
        <f>'[7]Formati 2.1 Sipas Tavaneve'!E103</f>
        <v>#DIV/0!</v>
      </c>
      <c r="E103" s="162" t="e">
        <f>'[7]Formati 2.1 Sipas Tavaneve'!F103</f>
        <v>#DIV/0!</v>
      </c>
      <c r="F103" s="162" t="e">
        <f>'[7]Formati 2.1 Sipas Tavaneve'!G103</f>
        <v>#DIV/0!</v>
      </c>
    </row>
    <row r="104" spans="2:6" ht="15.75" customHeight="1" thickBot="1" x14ac:dyDescent="0.3">
      <c r="B104" s="1000" t="str">
        <f>'[7]Formati 2.1 Sipas Tavaneve'!C104</f>
        <v>Detajimi i Kostos Totale të Produktit 4 sipas Artikujve Ekonomikë</v>
      </c>
      <c r="C104" s="1001"/>
      <c r="D104" s="1001"/>
      <c r="E104" s="1001"/>
      <c r="F104" s="1002"/>
    </row>
    <row r="105" spans="2:6" x14ac:dyDescent="0.25">
      <c r="B105" s="998">
        <f>'[7]Formati 2.1 Sipas Tavaneve'!C105</f>
        <v>0</v>
      </c>
      <c r="C105" s="63">
        <f>'[7]Formati 2.1 Sipas Tavaneve'!D105</f>
        <v>2018</v>
      </c>
      <c r="D105" s="63">
        <f>'[7]Formati 2.1 Sipas Tavaneve'!E105</f>
        <v>2019</v>
      </c>
      <c r="E105" s="63">
        <f>'[7]Formati 2.1 Sipas Tavaneve'!F105</f>
        <v>2020</v>
      </c>
      <c r="F105" s="63">
        <f>'[7]Formati 2.1 Sipas Tavaneve'!G105</f>
        <v>2021</v>
      </c>
    </row>
    <row r="106" spans="2:6" ht="15.75" thickBot="1" x14ac:dyDescent="0.3">
      <c r="B106" s="999"/>
      <c r="C106" s="64" t="str">
        <f>'[7]Formati 2.1 Sipas Tavaneve'!D106</f>
        <v>Buxheti</v>
      </c>
      <c r="D106" s="64" t="str">
        <f>'[7]Formati 2.1 Sipas Tavaneve'!E106</f>
        <v>Parashikimi</v>
      </c>
      <c r="E106" s="64" t="str">
        <f>'[7]Formati 2.1 Sipas Tavaneve'!F106</f>
        <v>Parashikimi</v>
      </c>
      <c r="F106" s="64" t="str">
        <f>'[7]Formati 2.1 Sipas Tavaneve'!G106</f>
        <v>Parashikimi</v>
      </c>
    </row>
    <row r="107" spans="2:6" ht="15.75" thickBot="1" x14ac:dyDescent="0.3">
      <c r="B107" s="65" t="str">
        <f>'[7]Formati 2.1 Sipas Tavaneve'!C107</f>
        <v xml:space="preserve">600. Pagat </v>
      </c>
      <c r="C107" s="164">
        <f>'[7]Formati 2.1 Sipas Tavaneve'!D107</f>
        <v>6415</v>
      </c>
      <c r="D107" s="164">
        <f>'[7]Formati 2.1 Sipas Tavaneve'!E107</f>
        <v>6415</v>
      </c>
      <c r="E107" s="164">
        <f>'[7]Formati 2.1 Sipas Tavaneve'!F107</f>
        <v>6415</v>
      </c>
      <c r="F107" s="164">
        <f>'[7]Formati 2.1 Sipas Tavaneve'!G107</f>
        <v>6415</v>
      </c>
    </row>
    <row r="108" spans="2:6" ht="15.75" thickBot="1" x14ac:dyDescent="0.3">
      <c r="B108" s="65" t="str">
        <f>'[7]Formati 2.1 Sipas Tavaneve'!C108</f>
        <v>601. Sigurimet Shoqërore dhe Shendetësore</v>
      </c>
      <c r="C108" s="164">
        <f>'[7]Formati 2.1 Sipas Tavaneve'!D108</f>
        <v>878</v>
      </c>
      <c r="D108" s="164">
        <f>'[7]Formati 2.1 Sipas Tavaneve'!E108</f>
        <v>878</v>
      </c>
      <c r="E108" s="164">
        <f>'[7]Formati 2.1 Sipas Tavaneve'!F108</f>
        <v>878</v>
      </c>
      <c r="F108" s="164">
        <f>'[7]Formati 2.1 Sipas Tavaneve'!G108</f>
        <v>878</v>
      </c>
    </row>
    <row r="109" spans="2:6" ht="15.75" thickBot="1" x14ac:dyDescent="0.3">
      <c r="B109" s="65" t="str">
        <f>'[7]Formati 2.1 Sipas Tavaneve'!C109</f>
        <v xml:space="preserve">602. Mallrat dhe shërbimet </v>
      </c>
      <c r="C109" s="165">
        <f>'[7]Formati 2.1 Sipas Tavaneve'!D109</f>
        <v>1200</v>
      </c>
      <c r="D109" s="165">
        <f>'[7]Formati 2.1 Sipas Tavaneve'!E109</f>
        <v>1236</v>
      </c>
      <c r="E109" s="165">
        <f>'[7]Formati 2.1 Sipas Tavaneve'!F109</f>
        <v>1273.08</v>
      </c>
      <c r="F109" s="165">
        <f>'[7]Formati 2.1 Sipas Tavaneve'!G109</f>
        <v>1311.2724000000001</v>
      </c>
    </row>
    <row r="110" spans="2:6" ht="15.75" thickBot="1" x14ac:dyDescent="0.3">
      <c r="B110" s="65" t="str">
        <f>'[7]Formati 2.1 Sipas Tavaneve'!C110</f>
        <v xml:space="preserve">603. Subvencionet </v>
      </c>
      <c r="C110" s="165">
        <f>'[7]Formati 2.1 Sipas Tavaneve'!D110</f>
        <v>0</v>
      </c>
      <c r="D110" s="165">
        <f>'[7]Formati 2.1 Sipas Tavaneve'!E110</f>
        <v>0</v>
      </c>
      <c r="E110" s="165">
        <f>'[7]Formati 2.1 Sipas Tavaneve'!F110</f>
        <v>0</v>
      </c>
      <c r="F110" s="165">
        <f>'[7]Formati 2.1 Sipas Tavaneve'!G110</f>
        <v>0</v>
      </c>
    </row>
    <row r="111" spans="2:6" ht="15.75" thickBot="1" x14ac:dyDescent="0.3">
      <c r="B111" s="65" t="str">
        <f>'[7]Formati 2.1 Sipas Tavaneve'!C111</f>
        <v>604. Transferta të brendshme</v>
      </c>
      <c r="C111" s="165">
        <f>'[7]Formati 2.1 Sipas Tavaneve'!D111</f>
        <v>0</v>
      </c>
      <c r="D111" s="165">
        <f>'[7]Formati 2.1 Sipas Tavaneve'!E111</f>
        <v>0</v>
      </c>
      <c r="E111" s="165">
        <f>'[7]Formati 2.1 Sipas Tavaneve'!F111</f>
        <v>0</v>
      </c>
      <c r="F111" s="165">
        <f>'[7]Formati 2.1 Sipas Tavaneve'!G111</f>
        <v>0</v>
      </c>
    </row>
    <row r="112" spans="2:6" ht="15.75" thickBot="1" x14ac:dyDescent="0.3">
      <c r="B112" s="65" t="str">
        <f>'[7]Formati 2.1 Sipas Tavaneve'!C112</f>
        <v>605. Transferta të jashtme</v>
      </c>
      <c r="C112" s="165">
        <f>'[7]Formati 2.1 Sipas Tavaneve'!D112</f>
        <v>0</v>
      </c>
      <c r="D112" s="165">
        <f>'[7]Formati 2.1 Sipas Tavaneve'!E112</f>
        <v>0</v>
      </c>
      <c r="E112" s="165">
        <f>'[7]Formati 2.1 Sipas Tavaneve'!F112</f>
        <v>0</v>
      </c>
      <c r="F112" s="165">
        <f>'[7]Formati 2.1 Sipas Tavaneve'!G112</f>
        <v>0</v>
      </c>
    </row>
    <row r="113" spans="2:6" ht="15.75" thickBot="1" x14ac:dyDescent="0.3">
      <c r="B113" s="65" t="str">
        <f>'[7]Formati 2.1 Sipas Tavaneve'!C113</f>
        <v xml:space="preserve">606. Transferta për familjet dhe individët </v>
      </c>
      <c r="C113" s="165">
        <f>'[7]Formati 2.1 Sipas Tavaneve'!D113</f>
        <v>0</v>
      </c>
      <c r="D113" s="165">
        <f>'[7]Formati 2.1 Sipas Tavaneve'!E113</f>
        <v>0</v>
      </c>
      <c r="E113" s="165">
        <f>'[7]Formati 2.1 Sipas Tavaneve'!F113</f>
        <v>0</v>
      </c>
      <c r="F113" s="165">
        <f>'[7]Formati 2.1 Sipas Tavaneve'!G113</f>
        <v>0</v>
      </c>
    </row>
    <row r="114" spans="2:6" ht="15.75" thickBot="1" x14ac:dyDescent="0.3">
      <c r="B114" s="196" t="str">
        <f>'[7]Formati 2.1 Sipas Tavaneve'!C114</f>
        <v>Kosto totale e produktit 4</v>
      </c>
      <c r="C114" s="165">
        <f>'[7]Formati 2.1 Sipas Tavaneve'!D114</f>
        <v>8493</v>
      </c>
      <c r="D114" s="165">
        <f>'[7]Formati 2.1 Sipas Tavaneve'!E114</f>
        <v>8529</v>
      </c>
      <c r="E114" s="164">
        <f>'[7]Formati 2.1 Sipas Tavaneve'!F114</f>
        <v>8566.08</v>
      </c>
      <c r="F114" s="164">
        <f>'[7]Formati 2.1 Sipas Tavaneve'!G114</f>
        <v>8604</v>
      </c>
    </row>
    <row r="115" spans="2:6" ht="15.75" thickBot="1" x14ac:dyDescent="0.3">
      <c r="B115" s="166" t="str">
        <f>'[7]Formati 2.1 Sipas Tavaneve'!C115</f>
        <v>Kontroll</v>
      </c>
      <c r="C115" s="167">
        <f>'[7]Formati 2.1 Sipas Tavaneve'!D115</f>
        <v>0</v>
      </c>
      <c r="D115" s="167">
        <f>'[7]Formati 2.1 Sipas Tavaneve'!E115</f>
        <v>0</v>
      </c>
      <c r="E115" s="167">
        <f>'[7]Formati 2.1 Sipas Tavaneve'!F115</f>
        <v>0</v>
      </c>
      <c r="F115" s="167">
        <f>'[7]Formati 2.1 Sipas Tavaneve'!G115</f>
        <v>0</v>
      </c>
    </row>
    <row r="116" spans="2:6" ht="15.75" thickBot="1" x14ac:dyDescent="0.3">
      <c r="B116" s="673">
        <f>'[7]Formati 2.1 Sipas Tavaneve'!C116</f>
        <v>0</v>
      </c>
      <c r="C116" s="674">
        <f>'[7]Formati 2.1 Sipas Tavaneve'!D116</f>
        <v>0</v>
      </c>
      <c r="D116" s="674">
        <f>'[7]Formati 2.1 Sipas Tavaneve'!E116</f>
        <v>0</v>
      </c>
      <c r="E116" s="674">
        <f>'[7]Formati 2.1 Sipas Tavaneve'!F116</f>
        <v>0</v>
      </c>
      <c r="F116" s="167">
        <f>'[7]Formati 2.1 Sipas Tavaneve'!G116</f>
        <v>0</v>
      </c>
    </row>
    <row r="117" spans="2:6" ht="15.75" thickBot="1" x14ac:dyDescent="0.3">
      <c r="B117" s="989" t="str">
        <f>'[7]Formati 2.1 Sipas Tavaneve'!C117</f>
        <v>Shpenzimet Kapitale</v>
      </c>
      <c r="C117" s="990"/>
      <c r="D117" s="990"/>
      <c r="E117" s="990"/>
      <c r="F117" s="991"/>
    </row>
    <row r="118" spans="2:6" ht="15.75" thickBot="1" x14ac:dyDescent="0.3">
      <c r="B118" s="989" t="str">
        <f>'[7]Formati 2.1 Sipas Tavaneve'!C118</f>
        <v>Kategoria 1: Shpenzimet Administrative Kapitale</v>
      </c>
      <c r="C118" s="990"/>
      <c r="D118" s="990"/>
      <c r="E118" s="990"/>
      <c r="F118" s="991"/>
    </row>
    <row r="119" spans="2:6" ht="15.75" thickBot="1" x14ac:dyDescent="0.3">
      <c r="B119" s="67" t="str">
        <f>'[7]Formati 2.1 Sipas Tavaneve'!C119</f>
        <v>Kodi i Projektit të Investimeve****</v>
      </c>
      <c r="C119" s="1009" t="str">
        <f>'[7]Formati 2.1 Sipas Tavaneve'!D119</f>
        <v>Emërtimi i Projektit të Investimeve</v>
      </c>
      <c r="D119" s="1010"/>
      <c r="E119" s="1010"/>
      <c r="F119" s="1011"/>
    </row>
    <row r="120" spans="2:6" ht="15.75" thickBot="1" x14ac:dyDescent="0.3">
      <c r="B120" s="160" t="str">
        <f>'[7]Formati 2.1 Sipas Tavaneve'!C120</f>
        <v>Produkti 1</v>
      </c>
      <c r="C120" s="992">
        <f>'[7]Formati 2.1 Sipas Tavaneve'!D120</f>
        <v>0</v>
      </c>
      <c r="D120" s="993"/>
      <c r="E120" s="993"/>
      <c r="F120" s="994"/>
    </row>
    <row r="121" spans="2:6" ht="15.75" thickBot="1" x14ac:dyDescent="0.3">
      <c r="B121" s="62" t="str">
        <f>'[7]Formati 2.1 Sipas Tavaneve'!C121</f>
        <v>Përshkrimi i Produktit:</v>
      </c>
      <c r="C121" s="983">
        <f>'[7]Formati 2.1 Sipas Tavaneve'!D121</f>
        <v>0</v>
      </c>
      <c r="D121" s="984"/>
      <c r="E121" s="984"/>
      <c r="F121" s="985"/>
    </row>
    <row r="122" spans="2:6" ht="15.75" thickBot="1" x14ac:dyDescent="0.3">
      <c r="B122" s="62" t="str">
        <f>'[7]Formati 2.1 Sipas Tavaneve'!C122</f>
        <v>Njësia Matëse</v>
      </c>
      <c r="C122" s="995">
        <f>'[7]Formati 2.1 Sipas Tavaneve'!D122</f>
        <v>0</v>
      </c>
      <c r="D122" s="996"/>
      <c r="E122" s="996"/>
      <c r="F122" s="997"/>
    </row>
    <row r="123" spans="2:6" x14ac:dyDescent="0.25">
      <c r="B123" s="998">
        <f>'[7]Formati 2.1 Sipas Tavaneve'!C123</f>
        <v>0</v>
      </c>
      <c r="C123" s="63">
        <f>'[7]Formati 2.1 Sipas Tavaneve'!D123</f>
        <v>2018</v>
      </c>
      <c r="D123" s="63">
        <f>'[7]Formati 2.1 Sipas Tavaneve'!E123</f>
        <v>2019</v>
      </c>
      <c r="E123" s="63">
        <f>'[7]Formati 2.1 Sipas Tavaneve'!F123</f>
        <v>2020</v>
      </c>
      <c r="F123" s="63">
        <f>'[7]Formati 2.1 Sipas Tavaneve'!G123</f>
        <v>2021</v>
      </c>
    </row>
    <row r="124" spans="2:6" ht="15.75" thickBot="1" x14ac:dyDescent="0.3">
      <c r="B124" s="999"/>
      <c r="C124" s="64" t="str">
        <f>'[7]Formati 2.1 Sipas Tavaneve'!D124</f>
        <v>Buxheti</v>
      </c>
      <c r="D124" s="64" t="str">
        <f>'[7]Formati 2.1 Sipas Tavaneve'!E124</f>
        <v>Parashikimi</v>
      </c>
      <c r="E124" s="64" t="str">
        <f>'[7]Formati 2.1 Sipas Tavaneve'!F124</f>
        <v>Parashikimi</v>
      </c>
      <c r="F124" s="64" t="str">
        <f>'[7]Formati 2.1 Sipas Tavaneve'!G124</f>
        <v>Parashikimi</v>
      </c>
    </row>
    <row r="125" spans="2:6" ht="15.75" thickBot="1" x14ac:dyDescent="0.3">
      <c r="B125" s="62" t="str">
        <f>'[7]Formati 2.1 Sipas Tavaneve'!C125</f>
        <v>Sasia</v>
      </c>
      <c r="C125" s="161">
        <f>'[7]Formati 2.1 Sipas Tavaneve'!D125</f>
        <v>0</v>
      </c>
      <c r="D125" s="161">
        <f>'[7]Formati 2.1 Sipas Tavaneve'!E125</f>
        <v>0</v>
      </c>
      <c r="E125" s="161">
        <f>'[7]Formati 2.1 Sipas Tavaneve'!F125</f>
        <v>0</v>
      </c>
      <c r="F125" s="161">
        <f>'[7]Formati 2.1 Sipas Tavaneve'!G125</f>
        <v>0</v>
      </c>
    </row>
    <row r="126" spans="2:6" ht="15.75" thickBot="1" x14ac:dyDescent="0.3">
      <c r="B126" s="62" t="str">
        <f>'[7]Formati 2.1 Sipas Tavaneve'!C126</f>
        <v>Kosto totale (në mijë lekë)</v>
      </c>
      <c r="C126" s="161">
        <f>'[7]Formati 2.1 Sipas Tavaneve'!D126</f>
        <v>0</v>
      </c>
      <c r="D126" s="161">
        <f>'[7]Formati 2.1 Sipas Tavaneve'!E126</f>
        <v>0</v>
      </c>
      <c r="E126" s="161">
        <f>'[7]Formati 2.1 Sipas Tavaneve'!F126</f>
        <v>0</v>
      </c>
      <c r="F126" s="161">
        <f>'[7]Formati 2.1 Sipas Tavaneve'!G126</f>
        <v>0</v>
      </c>
    </row>
    <row r="127" spans="2:6" ht="15.75" thickBot="1" x14ac:dyDescent="0.3">
      <c r="B127" s="62" t="str">
        <f>'[7]Formati 2.1 Sipas Tavaneve'!C127</f>
        <v>Kosto për njësi (në mijë lekë)</v>
      </c>
      <c r="C127" s="161" t="e">
        <f>'[7]Formati 2.1 Sipas Tavaneve'!D127</f>
        <v>#DIV/0!</v>
      </c>
      <c r="D127" s="161" t="e">
        <f>'[7]Formati 2.1 Sipas Tavaneve'!E127</f>
        <v>#DIV/0!</v>
      </c>
      <c r="E127" s="161" t="e">
        <f>'[7]Formati 2.1 Sipas Tavaneve'!F127</f>
        <v>#DIV/0!</v>
      </c>
      <c r="F127" s="161" t="e">
        <f>'[7]Formati 2.1 Sipas Tavaneve'!G127</f>
        <v>#DIV/0!</v>
      </c>
    </row>
    <row r="128" spans="2:6" ht="15.75" thickBot="1" x14ac:dyDescent="0.3">
      <c r="B128" s="62" t="str">
        <f>'[7]Formati 2.1 Sipas Tavaneve'!C128</f>
        <v xml:space="preserve">Ndryshimi në % i Sasisë  </v>
      </c>
      <c r="C128" s="636" t="str">
        <f>'[7]Formati 2.1 Sipas Tavaneve'!D128</f>
        <v>…</v>
      </c>
      <c r="D128" s="162" t="e">
        <f>'[7]Formati 2.1 Sipas Tavaneve'!E128</f>
        <v>#DIV/0!</v>
      </c>
      <c r="E128" s="162" t="e">
        <f>'[7]Formati 2.1 Sipas Tavaneve'!F128</f>
        <v>#DIV/0!</v>
      </c>
      <c r="F128" s="162" t="e">
        <f>'[7]Formati 2.1 Sipas Tavaneve'!G128</f>
        <v>#DIV/0!</v>
      </c>
    </row>
    <row r="129" spans="2:6" ht="15.75" thickBot="1" x14ac:dyDescent="0.3">
      <c r="B129" s="62" t="str">
        <f>'[7]Formati 2.1 Sipas Tavaneve'!C129</f>
        <v xml:space="preserve">Ndryshimi në % i kostos totale  </v>
      </c>
      <c r="C129" s="636" t="str">
        <f>'[7]Formati 2.1 Sipas Tavaneve'!D129</f>
        <v>…</v>
      </c>
      <c r="D129" s="162" t="e">
        <f>'[7]Formati 2.1 Sipas Tavaneve'!E129</f>
        <v>#DIV/0!</v>
      </c>
      <c r="E129" s="162" t="e">
        <f>'[7]Formati 2.1 Sipas Tavaneve'!F129</f>
        <v>#DIV/0!</v>
      </c>
      <c r="F129" s="162" t="e">
        <f>'[7]Formati 2.1 Sipas Tavaneve'!G129</f>
        <v>#DIV/0!</v>
      </c>
    </row>
    <row r="130" spans="2:6" ht="15.75" thickBot="1" x14ac:dyDescent="0.3">
      <c r="B130" s="62" t="str">
        <f>'[7]Formati 2.1 Sipas Tavaneve'!C130</f>
        <v>Ndryshimi në % i kostos për njësi</v>
      </c>
      <c r="C130" s="636" t="str">
        <f>'[7]Formati 2.1 Sipas Tavaneve'!D130</f>
        <v>…</v>
      </c>
      <c r="D130" s="162" t="e">
        <f>'[7]Formati 2.1 Sipas Tavaneve'!E130</f>
        <v>#DIV/0!</v>
      </c>
      <c r="E130" s="162" t="e">
        <f>'[7]Formati 2.1 Sipas Tavaneve'!F130</f>
        <v>#DIV/0!</v>
      </c>
      <c r="F130" s="162" t="e">
        <f>'[7]Formati 2.1 Sipas Tavaneve'!G130</f>
        <v>#DIV/0!</v>
      </c>
    </row>
    <row r="131" spans="2:6" ht="15.75" customHeight="1" thickBot="1" x14ac:dyDescent="0.3">
      <c r="B131" s="1000" t="str">
        <f>'[7]Formati 2.1 Sipas Tavaneve'!C131</f>
        <v>Detajimi i Kostos Totale të Produktit 1 sipas Artikujve Ekonomikë</v>
      </c>
      <c r="C131" s="1001"/>
      <c r="D131" s="1001"/>
      <c r="E131" s="1001"/>
      <c r="F131" s="1002"/>
    </row>
    <row r="132" spans="2:6" x14ac:dyDescent="0.25">
      <c r="B132" s="998">
        <f>'[7]Formati 2.1 Sipas Tavaneve'!C132</f>
        <v>0</v>
      </c>
      <c r="C132" s="63">
        <f>'[7]Formati 2.1 Sipas Tavaneve'!D132</f>
        <v>2018</v>
      </c>
      <c r="D132" s="63">
        <f>'[7]Formati 2.1 Sipas Tavaneve'!E132</f>
        <v>2019</v>
      </c>
      <c r="E132" s="63">
        <f>'[7]Formati 2.1 Sipas Tavaneve'!F132</f>
        <v>2020</v>
      </c>
      <c r="F132" s="63">
        <f>'[7]Formati 2.1 Sipas Tavaneve'!G132</f>
        <v>2021</v>
      </c>
    </row>
    <row r="133" spans="2:6" ht="15.75" thickBot="1" x14ac:dyDescent="0.3">
      <c r="B133" s="999"/>
      <c r="C133" s="64" t="str">
        <f>'[7]Formati 2.1 Sipas Tavaneve'!D133</f>
        <v>Buxheti</v>
      </c>
      <c r="D133" s="64" t="str">
        <f>'[7]Formati 2.1 Sipas Tavaneve'!E133</f>
        <v>Parashikimi</v>
      </c>
      <c r="E133" s="64" t="str">
        <f>'[7]Formati 2.1 Sipas Tavaneve'!F133</f>
        <v>Parashikimi</v>
      </c>
      <c r="F133" s="64" t="str">
        <f>'[7]Formati 2.1 Sipas Tavaneve'!G133</f>
        <v>Parashikimi</v>
      </c>
    </row>
    <row r="134" spans="2:6" ht="15.75" thickBot="1" x14ac:dyDescent="0.3">
      <c r="B134" s="65" t="str">
        <f>'[7]Formati 2.1 Sipas Tavaneve'!C134</f>
        <v xml:space="preserve">230. Aktive të patrupëzuara </v>
      </c>
      <c r="C134" s="164">
        <f>'[7]Formati 2.1 Sipas Tavaneve'!D134</f>
        <v>0</v>
      </c>
      <c r="D134" s="164">
        <f>'[7]Formati 2.1 Sipas Tavaneve'!E134</f>
        <v>0</v>
      </c>
      <c r="E134" s="164">
        <f>'[7]Formati 2.1 Sipas Tavaneve'!F134</f>
        <v>0</v>
      </c>
      <c r="F134" s="164">
        <f>'[7]Formati 2.1 Sipas Tavaneve'!G134</f>
        <v>0</v>
      </c>
    </row>
    <row r="135" spans="2:6" ht="15.75" thickBot="1" x14ac:dyDescent="0.3">
      <c r="B135" s="65" t="str">
        <f>'[7]Formati 2.1 Sipas Tavaneve'!C135</f>
        <v xml:space="preserve">231. Aktive të trupëzuara </v>
      </c>
      <c r="C135" s="165">
        <f>'[7]Formati 2.1 Sipas Tavaneve'!D135</f>
        <v>0</v>
      </c>
      <c r="D135" s="164">
        <f>'[7]Formati 2.1 Sipas Tavaneve'!E135</f>
        <v>0</v>
      </c>
      <c r="E135" s="164">
        <f>'[7]Formati 2.1 Sipas Tavaneve'!F135</f>
        <v>0</v>
      </c>
      <c r="F135" s="164">
        <f>'[7]Formati 2.1 Sipas Tavaneve'!G135</f>
        <v>0</v>
      </c>
    </row>
    <row r="136" spans="2:6" ht="15.75" thickBot="1" x14ac:dyDescent="0.3">
      <c r="B136" s="66" t="str">
        <f>'[7]Formati 2.1 Sipas Tavaneve'!C136</f>
        <v>Kosto totale e produktit 1</v>
      </c>
      <c r="C136" s="165">
        <f>'[7]Formati 2.1 Sipas Tavaneve'!D136</f>
        <v>0</v>
      </c>
      <c r="D136" s="165">
        <f>'[7]Formati 2.1 Sipas Tavaneve'!E136</f>
        <v>0</v>
      </c>
      <c r="E136" s="165">
        <f>'[7]Formati 2.1 Sipas Tavaneve'!F136</f>
        <v>0</v>
      </c>
      <c r="F136" s="165">
        <f>'[7]Formati 2.1 Sipas Tavaneve'!G136</f>
        <v>0</v>
      </c>
    </row>
    <row r="137" spans="2:6" ht="15" customHeight="1" x14ac:dyDescent="0.25">
      <c r="B137" s="1015" t="str">
        <f>'[7]Formati 2.1 Sipas Tavaneve'!C137</f>
        <v xml:space="preserve">Shënim: Shpjegoni supozimet dhe llogaritjet për Produktin 1 </v>
      </c>
      <c r="C137" s="1036">
        <f>'[7]Formati 2.1 Sipas Tavaneve'!D137</f>
        <v>0</v>
      </c>
      <c r="D137" s="1037"/>
      <c r="E137" s="1037"/>
      <c r="F137" s="1038"/>
    </row>
    <row r="138" spans="2:6" x14ac:dyDescent="0.25">
      <c r="B138" s="1016"/>
      <c r="C138" s="1039"/>
      <c r="D138" s="1040"/>
      <c r="E138" s="1040"/>
      <c r="F138" s="1041"/>
    </row>
    <row r="139" spans="2:6" ht="15.75" thickBot="1" x14ac:dyDescent="0.3">
      <c r="B139" s="1017"/>
      <c r="C139" s="1042"/>
      <c r="D139" s="1043"/>
      <c r="E139" s="1043"/>
      <c r="F139" s="1044"/>
    </row>
    <row r="140" spans="2:6" ht="15.75" thickBot="1" x14ac:dyDescent="0.3">
      <c r="B140" s="67" t="str">
        <f>'[7]Formati 2.1 Sipas Tavaneve'!C140</f>
        <v>Kodi i Projektit të Investimeve</v>
      </c>
      <c r="C140" s="1009" t="str">
        <f>'[7]Formati 2.1 Sipas Tavaneve'!D140</f>
        <v>Emërtimi i Projektit të Investimeve</v>
      </c>
      <c r="D140" s="1010"/>
      <c r="E140" s="1010"/>
      <c r="F140" s="1011"/>
    </row>
    <row r="141" spans="2:6" ht="15.75" thickBot="1" x14ac:dyDescent="0.3">
      <c r="B141" s="160" t="str">
        <f>'[7]Formati 2.1 Sipas Tavaneve'!C141</f>
        <v>Produkti X (shto produkte sipas rastit)</v>
      </c>
      <c r="C141" s="992">
        <f>'[7]Formati 2.1 Sipas Tavaneve'!D141</f>
        <v>0</v>
      </c>
      <c r="D141" s="993"/>
      <c r="E141" s="993"/>
      <c r="F141" s="994"/>
    </row>
    <row r="142" spans="2:6" ht="15.75" thickBot="1" x14ac:dyDescent="0.3">
      <c r="B142" s="62" t="str">
        <f>'[7]Formati 2.1 Sipas Tavaneve'!C142</f>
        <v>Përshkrimi i Produktit:</v>
      </c>
      <c r="C142" s="983">
        <f>'[7]Formati 2.1 Sipas Tavaneve'!D142</f>
        <v>0</v>
      </c>
      <c r="D142" s="984"/>
      <c r="E142" s="984"/>
      <c r="F142" s="985"/>
    </row>
    <row r="143" spans="2:6" ht="15.75" thickBot="1" x14ac:dyDescent="0.3">
      <c r="B143" s="62" t="str">
        <f>'[7]Formati 2.1 Sipas Tavaneve'!C143</f>
        <v>Njësia Matëse</v>
      </c>
      <c r="C143" s="995">
        <f>'[7]Formati 2.1 Sipas Tavaneve'!D143</f>
        <v>0</v>
      </c>
      <c r="D143" s="996"/>
      <c r="E143" s="996"/>
      <c r="F143" s="997"/>
    </row>
    <row r="144" spans="2:6" x14ac:dyDescent="0.25">
      <c r="B144" s="998">
        <f>'[7]Formati 2.1 Sipas Tavaneve'!C144</f>
        <v>0</v>
      </c>
      <c r="C144" s="63">
        <f>'[7]Formati 2.1 Sipas Tavaneve'!D144</f>
        <v>2018</v>
      </c>
      <c r="D144" s="63">
        <f>'[7]Formati 2.1 Sipas Tavaneve'!E144</f>
        <v>2019</v>
      </c>
      <c r="E144" s="63">
        <f>'[7]Formati 2.1 Sipas Tavaneve'!F144</f>
        <v>2020</v>
      </c>
      <c r="F144" s="63">
        <f>'[7]Formati 2.1 Sipas Tavaneve'!G144</f>
        <v>2021</v>
      </c>
    </row>
    <row r="145" spans="2:6" ht="15.75" thickBot="1" x14ac:dyDescent="0.3">
      <c r="B145" s="999"/>
      <c r="C145" s="64" t="str">
        <f>'[7]Formati 2.1 Sipas Tavaneve'!D145</f>
        <v>Buxheti</v>
      </c>
      <c r="D145" s="64" t="str">
        <f>'[7]Formati 2.1 Sipas Tavaneve'!E145</f>
        <v>Parashikimi</v>
      </c>
      <c r="E145" s="64" t="str">
        <f>'[7]Formati 2.1 Sipas Tavaneve'!F145</f>
        <v>Parashikimi</v>
      </c>
      <c r="F145" s="64" t="str">
        <f>'[7]Formati 2.1 Sipas Tavaneve'!G145</f>
        <v>Parashikimi</v>
      </c>
    </row>
    <row r="146" spans="2:6" ht="15.75" thickBot="1" x14ac:dyDescent="0.3">
      <c r="B146" s="62" t="str">
        <f>'[7]Formati 2.1 Sipas Tavaneve'!C146</f>
        <v>Sasia</v>
      </c>
      <c r="C146" s="161">
        <f>'[7]Formati 2.1 Sipas Tavaneve'!D146</f>
        <v>0</v>
      </c>
      <c r="D146" s="161">
        <f>'[7]Formati 2.1 Sipas Tavaneve'!E146</f>
        <v>0</v>
      </c>
      <c r="E146" s="161">
        <f>'[7]Formati 2.1 Sipas Tavaneve'!F146</f>
        <v>0</v>
      </c>
      <c r="F146" s="161">
        <f>'[7]Formati 2.1 Sipas Tavaneve'!G146</f>
        <v>0</v>
      </c>
    </row>
    <row r="147" spans="2:6" ht="15.75" thickBot="1" x14ac:dyDescent="0.3">
      <c r="B147" s="62" t="str">
        <f>'[7]Formati 2.1 Sipas Tavaneve'!C147</f>
        <v>Kosto totale (në mijë lekë)</v>
      </c>
      <c r="C147" s="161">
        <f>'[7]Formati 2.1 Sipas Tavaneve'!D147</f>
        <v>0</v>
      </c>
      <c r="D147" s="161">
        <f>'[7]Formati 2.1 Sipas Tavaneve'!E147</f>
        <v>0</v>
      </c>
      <c r="E147" s="161">
        <f>'[7]Formati 2.1 Sipas Tavaneve'!F147</f>
        <v>0</v>
      </c>
      <c r="F147" s="161">
        <f>'[7]Formati 2.1 Sipas Tavaneve'!G147</f>
        <v>0</v>
      </c>
    </row>
    <row r="148" spans="2:6" ht="15.75" thickBot="1" x14ac:dyDescent="0.3">
      <c r="B148" s="62" t="str">
        <f>'[7]Formati 2.1 Sipas Tavaneve'!C148</f>
        <v>Kosto për njësi (në mijë lekë)</v>
      </c>
      <c r="C148" s="161" t="e">
        <f>'[7]Formati 2.1 Sipas Tavaneve'!D148</f>
        <v>#DIV/0!</v>
      </c>
      <c r="D148" s="161" t="e">
        <f>'[7]Formati 2.1 Sipas Tavaneve'!E148</f>
        <v>#DIV/0!</v>
      </c>
      <c r="E148" s="161" t="e">
        <f>'[7]Formati 2.1 Sipas Tavaneve'!F148</f>
        <v>#DIV/0!</v>
      </c>
      <c r="F148" s="161" t="e">
        <f>'[7]Formati 2.1 Sipas Tavaneve'!G148</f>
        <v>#DIV/0!</v>
      </c>
    </row>
    <row r="149" spans="2:6" ht="15.75" thickBot="1" x14ac:dyDescent="0.3">
      <c r="B149" s="62" t="str">
        <f>'[7]Formati 2.1 Sipas Tavaneve'!C149</f>
        <v xml:space="preserve">Ndryshimi në % i Sasisë  </v>
      </c>
      <c r="C149" s="636" t="str">
        <f>'[7]Formati 2.1 Sipas Tavaneve'!D149</f>
        <v>…</v>
      </c>
      <c r="D149" s="162" t="e">
        <f>'[7]Formati 2.1 Sipas Tavaneve'!E149</f>
        <v>#DIV/0!</v>
      </c>
      <c r="E149" s="162" t="e">
        <f>'[7]Formati 2.1 Sipas Tavaneve'!F149</f>
        <v>#DIV/0!</v>
      </c>
      <c r="F149" s="162" t="e">
        <f>'[7]Formati 2.1 Sipas Tavaneve'!G149</f>
        <v>#DIV/0!</v>
      </c>
    </row>
    <row r="150" spans="2:6" ht="15.75" thickBot="1" x14ac:dyDescent="0.3">
      <c r="B150" s="62" t="str">
        <f>'[7]Formati 2.1 Sipas Tavaneve'!C150</f>
        <v xml:space="preserve">Ndryshimi në % i kostos totale  </v>
      </c>
      <c r="C150" s="636" t="str">
        <f>'[7]Formati 2.1 Sipas Tavaneve'!D150</f>
        <v>…</v>
      </c>
      <c r="D150" s="162" t="e">
        <f>'[7]Formati 2.1 Sipas Tavaneve'!E150</f>
        <v>#DIV/0!</v>
      </c>
      <c r="E150" s="162" t="e">
        <f>'[7]Formati 2.1 Sipas Tavaneve'!F150</f>
        <v>#DIV/0!</v>
      </c>
      <c r="F150" s="162" t="e">
        <f>'[7]Formati 2.1 Sipas Tavaneve'!G150</f>
        <v>#DIV/0!</v>
      </c>
    </row>
    <row r="151" spans="2:6" ht="15.75" thickBot="1" x14ac:dyDescent="0.3">
      <c r="B151" s="62" t="str">
        <f>'[7]Formati 2.1 Sipas Tavaneve'!C151</f>
        <v>Ndryshimi në % i kostos për njësi</v>
      </c>
      <c r="C151" s="636" t="str">
        <f>'[7]Formati 2.1 Sipas Tavaneve'!D151</f>
        <v>…</v>
      </c>
      <c r="D151" s="162" t="e">
        <f>'[7]Formati 2.1 Sipas Tavaneve'!E151</f>
        <v>#DIV/0!</v>
      </c>
      <c r="E151" s="162" t="e">
        <f>'[7]Formati 2.1 Sipas Tavaneve'!F151</f>
        <v>#DIV/0!</v>
      </c>
      <c r="F151" s="162" t="e">
        <f>'[7]Formati 2.1 Sipas Tavaneve'!G151</f>
        <v>#DIV/0!</v>
      </c>
    </row>
    <row r="152" spans="2:6" ht="15.75" customHeight="1" thickBot="1" x14ac:dyDescent="0.3">
      <c r="B152" s="1000" t="str">
        <f>'[7]Formati 2.1 Sipas Tavaneve'!C152</f>
        <v>Detajimi i Kostos Totale të Produktit X sipas Artikujve Ekonomikë</v>
      </c>
      <c r="C152" s="1001"/>
      <c r="D152" s="1001"/>
      <c r="E152" s="1001"/>
      <c r="F152" s="1002"/>
    </row>
    <row r="153" spans="2:6" x14ac:dyDescent="0.25">
      <c r="B153" s="998">
        <f>'[7]Formati 2.1 Sipas Tavaneve'!C153</f>
        <v>0</v>
      </c>
      <c r="C153" s="63">
        <f>'[7]Formati 2.1 Sipas Tavaneve'!D153</f>
        <v>2018</v>
      </c>
      <c r="D153" s="63">
        <f>'[7]Formati 2.1 Sipas Tavaneve'!E153</f>
        <v>2019</v>
      </c>
      <c r="E153" s="63">
        <f>'[7]Formati 2.1 Sipas Tavaneve'!F153</f>
        <v>2020</v>
      </c>
      <c r="F153" s="63">
        <f>'[7]Formati 2.1 Sipas Tavaneve'!G153</f>
        <v>2021</v>
      </c>
    </row>
    <row r="154" spans="2:6" ht="15.75" thickBot="1" x14ac:dyDescent="0.3">
      <c r="B154" s="999"/>
      <c r="C154" s="64" t="str">
        <f>'[7]Formati 2.1 Sipas Tavaneve'!D154</f>
        <v>Buxheti</v>
      </c>
      <c r="D154" s="64" t="str">
        <f>'[7]Formati 2.1 Sipas Tavaneve'!E154</f>
        <v>Parashikimi</v>
      </c>
      <c r="E154" s="64" t="str">
        <f>'[7]Formati 2.1 Sipas Tavaneve'!F154</f>
        <v>Parashikimi</v>
      </c>
      <c r="F154" s="64" t="str">
        <f>'[7]Formati 2.1 Sipas Tavaneve'!G154</f>
        <v>Parashikimi</v>
      </c>
    </row>
    <row r="155" spans="2:6" ht="15.75" thickBot="1" x14ac:dyDescent="0.3">
      <c r="B155" s="65" t="str">
        <f>'[7]Formati 2.1 Sipas Tavaneve'!C155</f>
        <v xml:space="preserve">230. Aktive të patrupëzuara </v>
      </c>
      <c r="C155" s="164">
        <f>'[7]Formati 2.1 Sipas Tavaneve'!D155</f>
        <v>0</v>
      </c>
      <c r="D155" s="164">
        <f>'[7]Formati 2.1 Sipas Tavaneve'!E155</f>
        <v>0</v>
      </c>
      <c r="E155" s="164">
        <f>'[7]Formati 2.1 Sipas Tavaneve'!F155</f>
        <v>0</v>
      </c>
      <c r="F155" s="164">
        <f>'[7]Formati 2.1 Sipas Tavaneve'!G155</f>
        <v>0</v>
      </c>
    </row>
    <row r="156" spans="2:6" ht="15.75" thickBot="1" x14ac:dyDescent="0.3">
      <c r="B156" s="65" t="str">
        <f>'[7]Formati 2.1 Sipas Tavaneve'!C156</f>
        <v xml:space="preserve">231. Aktive të trupëzuara </v>
      </c>
      <c r="C156" s="164">
        <f>'[7]Formati 2.1 Sipas Tavaneve'!D156</f>
        <v>0</v>
      </c>
      <c r="D156" s="164">
        <f>'[7]Formati 2.1 Sipas Tavaneve'!E156</f>
        <v>0</v>
      </c>
      <c r="E156" s="164">
        <f>'[7]Formati 2.1 Sipas Tavaneve'!F156</f>
        <v>0</v>
      </c>
      <c r="F156" s="164">
        <f>'[7]Formati 2.1 Sipas Tavaneve'!G156</f>
        <v>0</v>
      </c>
    </row>
    <row r="157" spans="2:6" ht="15.75" thickBot="1" x14ac:dyDescent="0.3">
      <c r="B157" s="66" t="str">
        <f>'[7]Formati 2.1 Sipas Tavaneve'!C157</f>
        <v>Kosto totale e produktit X</v>
      </c>
      <c r="C157" s="165">
        <f>'[7]Formati 2.1 Sipas Tavaneve'!D157</f>
        <v>0</v>
      </c>
      <c r="D157" s="165">
        <f>'[7]Formati 2.1 Sipas Tavaneve'!E157</f>
        <v>0</v>
      </c>
      <c r="E157" s="165">
        <f>'[7]Formati 2.1 Sipas Tavaneve'!F157</f>
        <v>0</v>
      </c>
      <c r="F157" s="165">
        <f>'[7]Formati 2.1 Sipas Tavaneve'!G157</f>
        <v>0</v>
      </c>
    </row>
    <row r="158" spans="2:6" ht="15.75" thickBot="1" x14ac:dyDescent="0.3">
      <c r="B158" s="989" t="str">
        <f>'[7]Formati 2.1 Sipas Tavaneve'!C158</f>
        <v>Shpenzimet Kapitale</v>
      </c>
      <c r="C158" s="990"/>
      <c r="D158" s="990"/>
      <c r="E158" s="990"/>
      <c r="F158" s="991"/>
    </row>
    <row r="159" spans="2:6" ht="15.75" thickBot="1" x14ac:dyDescent="0.3">
      <c r="B159" s="989" t="str">
        <f>'[7]Formati 2.1 Sipas Tavaneve'!C159</f>
        <v>Kategoria 2: Shpenzimet për projekte investimesh</v>
      </c>
      <c r="C159" s="990"/>
      <c r="D159" s="990"/>
      <c r="E159" s="990"/>
      <c r="F159" s="991"/>
    </row>
    <row r="160" spans="2:6" ht="15.75" thickBot="1" x14ac:dyDescent="0.3">
      <c r="B160" s="67" t="str">
        <f>'[7]Formati 2.1 Sipas Tavaneve'!C160</f>
        <v>Kodi i Projektit të Investimeve</v>
      </c>
      <c r="C160" s="1009">
        <f>'[7]Formati 2.1 Sipas Tavaneve'!D160</f>
        <v>0</v>
      </c>
      <c r="D160" s="1010"/>
      <c r="E160" s="1010"/>
      <c r="F160" s="1011"/>
    </row>
    <row r="161" spans="2:6" ht="15.75" thickBot="1" x14ac:dyDescent="0.3">
      <c r="B161" s="160" t="str">
        <f>'[7]Formati 2.1 Sipas Tavaneve'!C161</f>
        <v>Produkti 1</v>
      </c>
      <c r="C161" s="992">
        <f>'[7]Formati 2.1 Sipas Tavaneve'!D161</f>
        <v>0</v>
      </c>
      <c r="D161" s="993"/>
      <c r="E161" s="993"/>
      <c r="F161" s="994"/>
    </row>
    <row r="162" spans="2:6" ht="15.75" thickBot="1" x14ac:dyDescent="0.3">
      <c r="B162" s="62" t="str">
        <f>'[7]Formati 2.1 Sipas Tavaneve'!C162</f>
        <v>Përshkrimi i Produktit:</v>
      </c>
      <c r="C162" s="983">
        <f>'[7]Formati 2.1 Sipas Tavaneve'!D162</f>
        <v>0</v>
      </c>
      <c r="D162" s="984"/>
      <c r="E162" s="984"/>
      <c r="F162" s="985"/>
    </row>
    <row r="163" spans="2:6" ht="15.75" thickBot="1" x14ac:dyDescent="0.3">
      <c r="B163" s="62" t="str">
        <f>'[7]Formati 2.1 Sipas Tavaneve'!C163</f>
        <v>Njësia Matëse</v>
      </c>
      <c r="C163" s="995" t="str">
        <f>'[7]Formati 2.1 Sipas Tavaneve'!D163</f>
        <v>cope</v>
      </c>
      <c r="D163" s="996"/>
      <c r="E163" s="996"/>
      <c r="F163" s="997"/>
    </row>
    <row r="164" spans="2:6" x14ac:dyDescent="0.25">
      <c r="B164" s="998">
        <f>'[7]Formati 2.1 Sipas Tavaneve'!C164</f>
        <v>0</v>
      </c>
      <c r="C164" s="63">
        <f>'[7]Formati 2.1 Sipas Tavaneve'!D164</f>
        <v>2018</v>
      </c>
      <c r="D164" s="63">
        <f>'[7]Formati 2.1 Sipas Tavaneve'!E164</f>
        <v>2019</v>
      </c>
      <c r="E164" s="63">
        <f>'[7]Formati 2.1 Sipas Tavaneve'!F164</f>
        <v>2020</v>
      </c>
      <c r="F164" s="63">
        <f>'[7]Formati 2.1 Sipas Tavaneve'!G164</f>
        <v>2021</v>
      </c>
    </row>
    <row r="165" spans="2:6" ht="15.75" thickBot="1" x14ac:dyDescent="0.3">
      <c r="B165" s="999"/>
      <c r="C165" s="64" t="str">
        <f>'[7]Formati 2.1 Sipas Tavaneve'!D165</f>
        <v>Buxheti</v>
      </c>
      <c r="D165" s="64" t="str">
        <f>'[7]Formati 2.1 Sipas Tavaneve'!E165</f>
        <v>Parashikimi</v>
      </c>
      <c r="E165" s="64" t="str">
        <f>'[7]Formati 2.1 Sipas Tavaneve'!F165</f>
        <v>Parashikimi</v>
      </c>
      <c r="F165" s="64" t="str">
        <f>'[7]Formati 2.1 Sipas Tavaneve'!G165</f>
        <v>Parashikimi</v>
      </c>
    </row>
    <row r="166" spans="2:6" ht="15.75" thickBot="1" x14ac:dyDescent="0.3">
      <c r="B166" s="62" t="str">
        <f>'[7]Formati 2.1 Sipas Tavaneve'!C166</f>
        <v>Sasia</v>
      </c>
      <c r="C166" s="161">
        <f>'[7]Formati 2.1 Sipas Tavaneve'!D166</f>
        <v>1</v>
      </c>
      <c r="D166" s="161">
        <f>'[7]Formati 2.1 Sipas Tavaneve'!E166</f>
        <v>0</v>
      </c>
      <c r="E166" s="161">
        <f>'[7]Formati 2.1 Sipas Tavaneve'!F166</f>
        <v>0</v>
      </c>
      <c r="F166" s="161">
        <f>'[7]Formati 2.1 Sipas Tavaneve'!G166</f>
        <v>0</v>
      </c>
    </row>
    <row r="167" spans="2:6" ht="15.75" thickBot="1" x14ac:dyDescent="0.3">
      <c r="B167" s="62" t="str">
        <f>'[7]Formati 2.1 Sipas Tavaneve'!C167</f>
        <v>Kosto totale (në mijë lekë)</v>
      </c>
      <c r="C167" s="161">
        <f>'[7]Formati 2.1 Sipas Tavaneve'!D167</f>
        <v>10000</v>
      </c>
      <c r="D167" s="161">
        <f>'[7]Formati 2.1 Sipas Tavaneve'!E167</f>
        <v>10000</v>
      </c>
      <c r="E167" s="161">
        <f>'[7]Formati 2.1 Sipas Tavaneve'!F167</f>
        <v>10000</v>
      </c>
      <c r="F167" s="161">
        <f>'[7]Formati 2.1 Sipas Tavaneve'!G167</f>
        <v>0</v>
      </c>
    </row>
    <row r="168" spans="2:6" ht="15.75" thickBot="1" x14ac:dyDescent="0.3">
      <c r="B168" s="62" t="str">
        <f>'[7]Formati 2.1 Sipas Tavaneve'!C168</f>
        <v>Kosto për njësi (në mijë lekë)</v>
      </c>
      <c r="C168" s="161">
        <f>'[7]Formati 2.1 Sipas Tavaneve'!D168</f>
        <v>10000</v>
      </c>
      <c r="D168" s="161" t="e">
        <f>'[7]Formati 2.1 Sipas Tavaneve'!E168</f>
        <v>#DIV/0!</v>
      </c>
      <c r="E168" s="161" t="e">
        <f>'[7]Formati 2.1 Sipas Tavaneve'!F168</f>
        <v>#DIV/0!</v>
      </c>
      <c r="F168" s="161" t="e">
        <f>'[7]Formati 2.1 Sipas Tavaneve'!G168</f>
        <v>#DIV/0!</v>
      </c>
    </row>
    <row r="169" spans="2:6" ht="15.75" thickBot="1" x14ac:dyDescent="0.3">
      <c r="B169" s="62" t="str">
        <f>'[7]Formati 2.1 Sipas Tavaneve'!C169</f>
        <v xml:space="preserve">Ndryshimi në % i Sasisë  </v>
      </c>
      <c r="C169" s="636" t="str">
        <f>'[7]Formati 2.1 Sipas Tavaneve'!D169</f>
        <v>…</v>
      </c>
      <c r="D169" s="162">
        <f>'[7]Formati 2.1 Sipas Tavaneve'!E169</f>
        <v>-1</v>
      </c>
      <c r="E169" s="162" t="e">
        <f>'[7]Formati 2.1 Sipas Tavaneve'!F169</f>
        <v>#DIV/0!</v>
      </c>
      <c r="F169" s="162" t="e">
        <f>'[7]Formati 2.1 Sipas Tavaneve'!G169</f>
        <v>#DIV/0!</v>
      </c>
    </row>
    <row r="170" spans="2:6" ht="15.75" thickBot="1" x14ac:dyDescent="0.3">
      <c r="B170" s="62" t="str">
        <f>'[7]Formati 2.1 Sipas Tavaneve'!C170</f>
        <v xml:space="preserve">Ndryshimi në % i kostos totale  </v>
      </c>
      <c r="C170" s="636" t="str">
        <f>'[7]Formati 2.1 Sipas Tavaneve'!D170</f>
        <v>…</v>
      </c>
      <c r="D170" s="162">
        <f>'[7]Formati 2.1 Sipas Tavaneve'!E170</f>
        <v>0</v>
      </c>
      <c r="E170" s="162">
        <f>'[7]Formati 2.1 Sipas Tavaneve'!F170</f>
        <v>0</v>
      </c>
      <c r="F170" s="162">
        <f>'[7]Formati 2.1 Sipas Tavaneve'!G170</f>
        <v>-1</v>
      </c>
    </row>
    <row r="171" spans="2:6" ht="15.75" thickBot="1" x14ac:dyDescent="0.3">
      <c r="B171" s="62" t="str">
        <f>'[7]Formati 2.1 Sipas Tavaneve'!C171</f>
        <v>Ndryshimi në % i kostos për njësi</v>
      </c>
      <c r="C171" s="636" t="str">
        <f>'[7]Formati 2.1 Sipas Tavaneve'!D171</f>
        <v>…</v>
      </c>
      <c r="D171" s="162" t="e">
        <f>'[7]Formati 2.1 Sipas Tavaneve'!E171</f>
        <v>#DIV/0!</v>
      </c>
      <c r="E171" s="162" t="e">
        <f>'[7]Formati 2.1 Sipas Tavaneve'!F171</f>
        <v>#DIV/0!</v>
      </c>
      <c r="F171" s="162" t="e">
        <f>'[7]Formati 2.1 Sipas Tavaneve'!G171</f>
        <v>#DIV/0!</v>
      </c>
    </row>
    <row r="172" spans="2:6" ht="15.75" customHeight="1" thickBot="1" x14ac:dyDescent="0.3">
      <c r="B172" s="1000" t="str">
        <f>'[7]Formati 2.1 Sipas Tavaneve'!C172</f>
        <v>Detajimi i Kostos Totale të Produktit 1 sipas Artikujve Ekonomikë</v>
      </c>
      <c r="C172" s="1001"/>
      <c r="D172" s="1001"/>
      <c r="E172" s="1001"/>
      <c r="F172" s="1002"/>
    </row>
    <row r="173" spans="2:6" x14ac:dyDescent="0.25">
      <c r="B173" s="998">
        <f>'[7]Formati 2.1 Sipas Tavaneve'!C173</f>
        <v>0</v>
      </c>
      <c r="C173" s="63">
        <f>'[7]Formati 2.1 Sipas Tavaneve'!D173</f>
        <v>2018</v>
      </c>
      <c r="D173" s="63">
        <f>'[7]Formati 2.1 Sipas Tavaneve'!E173</f>
        <v>2019</v>
      </c>
      <c r="E173" s="63">
        <f>'[7]Formati 2.1 Sipas Tavaneve'!F173</f>
        <v>2020</v>
      </c>
      <c r="F173" s="63">
        <f>'[7]Formati 2.1 Sipas Tavaneve'!G173</f>
        <v>2021</v>
      </c>
    </row>
    <row r="174" spans="2:6" ht="15.75" thickBot="1" x14ac:dyDescent="0.3">
      <c r="B174" s="999"/>
      <c r="C174" s="64" t="str">
        <f>'[7]Formati 2.1 Sipas Tavaneve'!D174</f>
        <v>Buxheti</v>
      </c>
      <c r="D174" s="64" t="str">
        <f>'[7]Formati 2.1 Sipas Tavaneve'!E174</f>
        <v>Parashikimi</v>
      </c>
      <c r="E174" s="64" t="str">
        <f>'[7]Formati 2.1 Sipas Tavaneve'!F174</f>
        <v>Parashikimi</v>
      </c>
      <c r="F174" s="64" t="str">
        <f>'[7]Formati 2.1 Sipas Tavaneve'!G174</f>
        <v>Parashikimi</v>
      </c>
    </row>
    <row r="175" spans="2:6" ht="15.75" thickBot="1" x14ac:dyDescent="0.3">
      <c r="B175" s="65" t="str">
        <f>'[7]Formati 2.1 Sipas Tavaneve'!C175</f>
        <v xml:space="preserve">230. Aktive të patrupëzuara </v>
      </c>
      <c r="C175" s="164">
        <f>'[7]Formati 2.1 Sipas Tavaneve'!D175</f>
        <v>10000</v>
      </c>
      <c r="D175" s="164">
        <f>'[7]Formati 2.1 Sipas Tavaneve'!E175</f>
        <v>10000</v>
      </c>
      <c r="E175" s="164">
        <f>'[7]Formati 2.1 Sipas Tavaneve'!F175</f>
        <v>10000</v>
      </c>
      <c r="F175" s="164">
        <f>'[7]Formati 2.1 Sipas Tavaneve'!G175</f>
        <v>0</v>
      </c>
    </row>
    <row r="176" spans="2:6" ht="15.75" thickBot="1" x14ac:dyDescent="0.3">
      <c r="B176" s="65" t="str">
        <f>'[7]Formati 2.1 Sipas Tavaneve'!C176</f>
        <v xml:space="preserve">231. Aktive të trupëzuara </v>
      </c>
      <c r="C176" s="165">
        <f>'[7]Formati 2.1 Sipas Tavaneve'!D176</f>
        <v>0</v>
      </c>
      <c r="D176" s="164">
        <f>'[7]Formati 2.1 Sipas Tavaneve'!E176</f>
        <v>0</v>
      </c>
      <c r="E176" s="164">
        <f>'[7]Formati 2.1 Sipas Tavaneve'!F176</f>
        <v>0</v>
      </c>
      <c r="F176" s="164">
        <f>'[7]Formati 2.1 Sipas Tavaneve'!G176</f>
        <v>0</v>
      </c>
    </row>
    <row r="177" spans="2:7" ht="15.75" thickBot="1" x14ac:dyDescent="0.3">
      <c r="B177" s="66" t="str">
        <f>'[7]Formati 2.1 Sipas Tavaneve'!C177</f>
        <v>Kosto totale e produktit 1</v>
      </c>
      <c r="C177" s="165">
        <f>'[7]Formati 2.1 Sipas Tavaneve'!D177</f>
        <v>10000</v>
      </c>
      <c r="D177" s="165">
        <f>'[7]Formati 2.1 Sipas Tavaneve'!E177</f>
        <v>10000</v>
      </c>
      <c r="E177" s="165">
        <f>'[7]Formati 2.1 Sipas Tavaneve'!F177</f>
        <v>10000</v>
      </c>
      <c r="F177" s="165">
        <f>'[7]Formati 2.1 Sipas Tavaneve'!G177</f>
        <v>0</v>
      </c>
    </row>
    <row r="178" spans="2:7" ht="15.75" thickBot="1" x14ac:dyDescent="0.3">
      <c r="B178" s="175">
        <f>'[7]Formati 2.1 Sipas Tavaneve'!C178</f>
        <v>0</v>
      </c>
      <c r="C178" s="176">
        <f>'[7]Formati 2.1 Sipas Tavaneve'!D178</f>
        <v>0</v>
      </c>
      <c r="D178" s="176">
        <f>'[7]Formati 2.1 Sipas Tavaneve'!E178</f>
        <v>0</v>
      </c>
      <c r="E178" s="176">
        <f>'[7]Formati 2.1 Sipas Tavaneve'!F178</f>
        <v>0</v>
      </c>
      <c r="F178" s="176">
        <f>'[7]Formati 2.1 Sipas Tavaneve'!G178</f>
        <v>0</v>
      </c>
    </row>
    <row r="179" spans="2:7" ht="30.75" thickBot="1" x14ac:dyDescent="0.3">
      <c r="B179" s="158" t="str">
        <f>'[7]Formati 2.1 Sipas Tavaneve'!C179</f>
        <v>Totali i shpenzimeve të Programit sipas produkteve*****</v>
      </c>
      <c r="C179" s="177">
        <f>'[7]Formati 2.1 Sipas Tavaneve'!D179</f>
        <v>44221</v>
      </c>
      <c r="D179" s="177">
        <f>'[7]Formati 2.1 Sipas Tavaneve'!E179</f>
        <v>44371</v>
      </c>
      <c r="E179" s="177">
        <f>'[7]Formati 2.1 Sipas Tavaneve'!F179</f>
        <v>44525.5</v>
      </c>
      <c r="F179" s="177">
        <f>'[7]Formati 2.1 Sipas Tavaneve'!G179</f>
        <v>34684.270000000004</v>
      </c>
    </row>
    <row r="180" spans="2:7" ht="15.75" thickBot="1" x14ac:dyDescent="0.3">
      <c r="B180" s="158" t="str">
        <f>'[7]Formati 2.1 Sipas Tavaneve'!C180</f>
        <v>Totali i shpenzimeve të Programit sipas artikujve*****</v>
      </c>
      <c r="C180" s="177">
        <f>C182+C184+C186+C188+C190+C192+C194+C196+C198</f>
        <v>44221</v>
      </c>
      <c r="D180" s="177">
        <f t="shared" ref="D180:F180" si="0">D182+D184+D186+D188+D190+D192+D194+D196+D198</f>
        <v>44371</v>
      </c>
      <c r="E180" s="177">
        <f t="shared" si="0"/>
        <v>44525.5</v>
      </c>
      <c r="F180" s="177">
        <f t="shared" si="0"/>
        <v>34684.184999999998</v>
      </c>
    </row>
    <row r="181" spans="2:7" ht="15.75" thickBot="1" x14ac:dyDescent="0.3">
      <c r="B181" s="178" t="str">
        <f>'[7]Formati 2.1 Sipas Tavaneve'!C181</f>
        <v>Ndryshimi në % i totalit të shpenzimeve të Programit</v>
      </c>
      <c r="C181" s="179">
        <f>'[7]Formati 2.1 Sipas Tavaneve'!D181</f>
        <v>0</v>
      </c>
      <c r="D181" s="180">
        <f>'[7]Formati 2.1 Sipas Tavaneve'!E181</f>
        <v>3.3920535492186765E-3</v>
      </c>
      <c r="E181" s="180">
        <f>'[7]Formati 2.1 Sipas Tavaneve'!F181</f>
        <v>3.4820040116292361E-3</v>
      </c>
      <c r="F181" s="180">
        <f>'[7]Formati 2.1 Sipas Tavaneve'!G181</f>
        <v>-0.22102649043806366</v>
      </c>
    </row>
    <row r="182" spans="2:7" ht="15.75" thickBot="1" x14ac:dyDescent="0.3">
      <c r="B182" s="65" t="str">
        <f>'[7]Formati 2.1 Sipas Tavaneve'!C182</f>
        <v xml:space="preserve">600. Pagat </v>
      </c>
      <c r="C182" s="164">
        <f>'[7]Formati 2.1 Sipas Tavaneve'!D182</f>
        <v>25600</v>
      </c>
      <c r="D182" s="164">
        <f>'[7]Formati 2.1 Sipas Tavaneve'!E182</f>
        <v>25600</v>
      </c>
      <c r="E182" s="164">
        <f>'[7]Formati 2.1 Sipas Tavaneve'!F182</f>
        <v>25600</v>
      </c>
      <c r="F182" s="164">
        <f>'[7]Formati 2.1 Sipas Tavaneve'!G182</f>
        <v>25600</v>
      </c>
    </row>
    <row r="183" spans="2:7" ht="15.75" thickBot="1" x14ac:dyDescent="0.3">
      <c r="B183" s="181" t="str">
        <f>'[7]Formati 2.1 Sipas Tavaneve'!C183</f>
        <v>Ndryshimi në % i Pagave</v>
      </c>
      <c r="C183" s="165">
        <f>'[7]Formati 2.1 Sipas Tavaneve'!D183</f>
        <v>0</v>
      </c>
      <c r="D183" s="182">
        <f>'[7]Formati 2.1 Sipas Tavaneve'!E183</f>
        <v>0</v>
      </c>
      <c r="E183" s="182">
        <f>'[7]Formati 2.1 Sipas Tavaneve'!F183</f>
        <v>0</v>
      </c>
      <c r="F183" s="182">
        <f>'[7]Formati 2.1 Sipas Tavaneve'!G183</f>
        <v>0</v>
      </c>
      <c r="G183" s="163">
        <f>C182+C184+C186+C196+C198</f>
        <v>44221</v>
      </c>
    </row>
    <row r="184" spans="2:7" ht="15.75" thickBot="1" x14ac:dyDescent="0.3">
      <c r="B184" s="65" t="str">
        <f>'[7]Formati 2.1 Sipas Tavaneve'!C184</f>
        <v>601. Sigurimet Shoqërore dhe Shendetësore</v>
      </c>
      <c r="C184" s="164">
        <f>'[7]Formati 2.1 Sipas Tavaneve'!D184</f>
        <v>3621</v>
      </c>
      <c r="D184" s="164">
        <f>'[7]Formati 2.1 Sipas Tavaneve'!E184</f>
        <v>3621</v>
      </c>
      <c r="E184" s="164">
        <f>'[7]Formati 2.1 Sipas Tavaneve'!F184</f>
        <v>3621</v>
      </c>
      <c r="F184" s="164">
        <f>'[7]Formati 2.1 Sipas Tavaneve'!G184</f>
        <v>3621</v>
      </c>
    </row>
    <row r="185" spans="2:7" ht="15.75" thickBot="1" x14ac:dyDescent="0.3">
      <c r="B185" s="181" t="str">
        <f>'[7]Formati 2.1 Sipas Tavaneve'!C185</f>
        <v>Ndryshimi në % i Sigurimeve Shoqërore dhe Shëndetësore</v>
      </c>
      <c r="C185" s="165">
        <f>'[7]Formati 2.1 Sipas Tavaneve'!D185</f>
        <v>0</v>
      </c>
      <c r="D185" s="182">
        <f>'[7]Formati 2.1 Sipas Tavaneve'!E185</f>
        <v>0</v>
      </c>
      <c r="E185" s="182">
        <f>'[7]Formati 2.1 Sipas Tavaneve'!F185</f>
        <v>0</v>
      </c>
      <c r="F185" s="182">
        <f>'[7]Formati 2.1 Sipas Tavaneve'!G185</f>
        <v>0</v>
      </c>
    </row>
    <row r="186" spans="2:7" ht="15.75" thickBot="1" x14ac:dyDescent="0.3">
      <c r="B186" s="65" t="str">
        <f>'[7]Formati 2.1 Sipas Tavaneve'!C186</f>
        <v xml:space="preserve">602. Mallrat dhe shërbimet </v>
      </c>
      <c r="C186" s="164">
        <f>'[7]Formati 2.1 Sipas Tavaneve'!D186</f>
        <v>5000</v>
      </c>
      <c r="D186" s="164">
        <f>'[7]Formati 2.1 Sipas Tavaneve'!E186</f>
        <v>5150</v>
      </c>
      <c r="E186" s="164">
        <f>'[7]Formati 2.1 Sipas Tavaneve'!F186</f>
        <v>5304.5</v>
      </c>
      <c r="F186" s="164">
        <f>'[7]Formati 2.1 Sipas Tavaneve'!G186</f>
        <v>5463.1850000000004</v>
      </c>
    </row>
    <row r="187" spans="2:7" ht="15.75" thickBot="1" x14ac:dyDescent="0.3">
      <c r="B187" s="181" t="str">
        <f>'[7]Formati 2.1 Sipas Tavaneve'!C187</f>
        <v>Ndryshimi në % i Mallrave dhe Shërbimeve</v>
      </c>
      <c r="C187" s="165">
        <f>'[7]Formati 2.1 Sipas Tavaneve'!D187</f>
        <v>0</v>
      </c>
      <c r="D187" s="182">
        <f>'[7]Formati 2.1 Sipas Tavaneve'!E187</f>
        <v>3.0000000000000027E-2</v>
      </c>
      <c r="E187" s="182">
        <f>'[7]Formati 2.1 Sipas Tavaneve'!F187</f>
        <v>3.0000000000000027E-2</v>
      </c>
      <c r="F187" s="182">
        <f>'[7]Formati 2.1 Sipas Tavaneve'!G187</f>
        <v>2.9915166368178037E-2</v>
      </c>
    </row>
    <row r="188" spans="2:7" ht="15.75" thickBot="1" x14ac:dyDescent="0.3">
      <c r="B188" s="65" t="str">
        <f>'[7]Formati 2.1 Sipas Tavaneve'!C188</f>
        <v xml:space="preserve">603. Subvencionet </v>
      </c>
      <c r="C188" s="164">
        <f>'[7]Formati 2.1 Sipas Tavaneve'!D188</f>
        <v>0</v>
      </c>
      <c r="D188" s="164">
        <f>'[7]Formati 2.1 Sipas Tavaneve'!E188</f>
        <v>0</v>
      </c>
      <c r="E188" s="164">
        <f>'[7]Formati 2.1 Sipas Tavaneve'!F188</f>
        <v>0</v>
      </c>
      <c r="F188" s="164">
        <f>'[7]Formati 2.1 Sipas Tavaneve'!G188</f>
        <v>0</v>
      </c>
    </row>
    <row r="189" spans="2:7" ht="15.75" thickBot="1" x14ac:dyDescent="0.3">
      <c r="B189" s="181" t="str">
        <f>'[7]Formati 2.1 Sipas Tavaneve'!C189</f>
        <v>Ndryshimi në % i Subvencioneve</v>
      </c>
      <c r="C189" s="165">
        <f>'[7]Formati 2.1 Sipas Tavaneve'!D189</f>
        <v>0</v>
      </c>
      <c r="D189" s="182" t="e">
        <f>'[7]Formati 2.1 Sipas Tavaneve'!E189</f>
        <v>#DIV/0!</v>
      </c>
      <c r="E189" s="182" t="e">
        <f>'[7]Formati 2.1 Sipas Tavaneve'!F189</f>
        <v>#DIV/0!</v>
      </c>
      <c r="F189" s="182" t="e">
        <f>'[7]Formati 2.1 Sipas Tavaneve'!G189</f>
        <v>#DIV/0!</v>
      </c>
    </row>
    <row r="190" spans="2:7" ht="15.75" thickBot="1" x14ac:dyDescent="0.3">
      <c r="B190" s="65" t="str">
        <f>'[7]Formati 2.1 Sipas Tavaneve'!C190</f>
        <v>604. Transferta të brendshme</v>
      </c>
      <c r="C190" s="164">
        <f>'[7]Formati 2.1 Sipas Tavaneve'!D190</f>
        <v>0</v>
      </c>
      <c r="D190" s="164">
        <f>'[7]Formati 2.1 Sipas Tavaneve'!E190</f>
        <v>0</v>
      </c>
      <c r="E190" s="164">
        <f>'[7]Formati 2.1 Sipas Tavaneve'!F190</f>
        <v>0</v>
      </c>
      <c r="F190" s="164">
        <f>'[7]Formati 2.1 Sipas Tavaneve'!G190</f>
        <v>0</v>
      </c>
    </row>
    <row r="191" spans="2:7" ht="15.75" thickBot="1" x14ac:dyDescent="0.3">
      <c r="B191" s="181" t="str">
        <f>'[7]Formati 2.1 Sipas Tavaneve'!C191</f>
        <v>Ndryshimi në % i Transfertave të brendshme</v>
      </c>
      <c r="C191" s="165">
        <f>'[7]Formati 2.1 Sipas Tavaneve'!D191</f>
        <v>0</v>
      </c>
      <c r="D191" s="182" t="e">
        <f>'[7]Formati 2.1 Sipas Tavaneve'!E191</f>
        <v>#DIV/0!</v>
      </c>
      <c r="E191" s="182" t="e">
        <f>'[7]Formati 2.1 Sipas Tavaneve'!F191</f>
        <v>#DIV/0!</v>
      </c>
      <c r="F191" s="182" t="e">
        <f>'[7]Formati 2.1 Sipas Tavaneve'!G191</f>
        <v>#DIV/0!</v>
      </c>
    </row>
    <row r="192" spans="2:7" ht="15.75" thickBot="1" x14ac:dyDescent="0.3">
      <c r="B192" s="65" t="str">
        <f>'[7]Formati 2.1 Sipas Tavaneve'!C192</f>
        <v>605. Transferta të jashtme</v>
      </c>
      <c r="C192" s="164">
        <f>'[7]Formati 2.1 Sipas Tavaneve'!D192</f>
        <v>0</v>
      </c>
      <c r="D192" s="164">
        <f>'[7]Formati 2.1 Sipas Tavaneve'!E192</f>
        <v>0</v>
      </c>
      <c r="E192" s="164">
        <f>'[7]Formati 2.1 Sipas Tavaneve'!F192</f>
        <v>0</v>
      </c>
      <c r="F192" s="164">
        <f>'[7]Formati 2.1 Sipas Tavaneve'!G192</f>
        <v>0</v>
      </c>
    </row>
    <row r="193" spans="2:6" ht="15.75" thickBot="1" x14ac:dyDescent="0.3">
      <c r="B193" s="181" t="str">
        <f>'[7]Formati 2.1 Sipas Tavaneve'!C193</f>
        <v>Ndryshimi në % i Transfertave të jashtme</v>
      </c>
      <c r="C193" s="165">
        <f>'[7]Formati 2.1 Sipas Tavaneve'!D193</f>
        <v>0</v>
      </c>
      <c r="D193" s="182" t="e">
        <f>'[7]Formati 2.1 Sipas Tavaneve'!E193</f>
        <v>#DIV/0!</v>
      </c>
      <c r="E193" s="182" t="e">
        <f>'[7]Formati 2.1 Sipas Tavaneve'!F193</f>
        <v>#DIV/0!</v>
      </c>
      <c r="F193" s="182" t="e">
        <f>'[7]Formati 2.1 Sipas Tavaneve'!G193</f>
        <v>#DIV/0!</v>
      </c>
    </row>
    <row r="194" spans="2:6" ht="15.75" thickBot="1" x14ac:dyDescent="0.3">
      <c r="B194" s="65" t="str">
        <f>'[7]Formati 2.1 Sipas Tavaneve'!C194</f>
        <v xml:space="preserve">606. Transferta për familjet dhe individët </v>
      </c>
      <c r="C194" s="164">
        <f>'[7]Formati 2.1 Sipas Tavaneve'!D194</f>
        <v>0</v>
      </c>
      <c r="D194" s="164">
        <f>'[7]Formati 2.1 Sipas Tavaneve'!E194</f>
        <v>0</v>
      </c>
      <c r="E194" s="164">
        <f>'[7]Formati 2.1 Sipas Tavaneve'!F194</f>
        <v>0</v>
      </c>
      <c r="F194" s="164">
        <f>'[7]Formati 2.1 Sipas Tavaneve'!G194</f>
        <v>0</v>
      </c>
    </row>
    <row r="195" spans="2:6" ht="15.75" thickBot="1" x14ac:dyDescent="0.3">
      <c r="B195" s="181" t="str">
        <f>'[7]Formati 2.1 Sipas Tavaneve'!C195</f>
        <v>Ndryshimi në % i Transfertave për familjet dhe individët</v>
      </c>
      <c r="C195" s="165">
        <f>'[7]Formati 2.1 Sipas Tavaneve'!D195</f>
        <v>0</v>
      </c>
      <c r="D195" s="182" t="e">
        <f>'[7]Formati 2.1 Sipas Tavaneve'!E195</f>
        <v>#DIV/0!</v>
      </c>
      <c r="E195" s="182" t="e">
        <f>'[7]Formati 2.1 Sipas Tavaneve'!F195</f>
        <v>#DIV/0!</v>
      </c>
      <c r="F195" s="182" t="e">
        <f>'[7]Formati 2.1 Sipas Tavaneve'!G195</f>
        <v>#DIV/0!</v>
      </c>
    </row>
    <row r="196" spans="2:6" ht="15.75" thickBot="1" x14ac:dyDescent="0.3">
      <c r="B196" s="65" t="str">
        <f>'[7]Formati 2.1 Sipas Tavaneve'!C196</f>
        <v>230. Aktivet e patrupëzuara</v>
      </c>
      <c r="C196" s="164">
        <f>'[7]Formati 2.1 Sipas Tavaneve'!D196</f>
        <v>10000</v>
      </c>
      <c r="D196" s="164">
        <f>'[7]Formati 2.1 Sipas Tavaneve'!E196</f>
        <v>10000</v>
      </c>
      <c r="E196" s="164">
        <f>'[7]Formati 2.1 Sipas Tavaneve'!F196</f>
        <v>10000</v>
      </c>
      <c r="F196" s="164">
        <f>'[7]Formati 2.1 Sipas Tavaneve'!G196</f>
        <v>0</v>
      </c>
    </row>
    <row r="197" spans="2:6" ht="15.75" thickBot="1" x14ac:dyDescent="0.3">
      <c r="B197" s="181" t="str">
        <f>'[7]Formati 2.1 Sipas Tavaneve'!C197</f>
        <v>Ndryshimi në % i Aktiveve të Patrupëzuara</v>
      </c>
      <c r="C197" s="165">
        <f>'[7]Formati 2.1 Sipas Tavaneve'!D197</f>
        <v>0</v>
      </c>
      <c r="D197" s="182">
        <f>'[7]Formati 2.1 Sipas Tavaneve'!E197</f>
        <v>0</v>
      </c>
      <c r="E197" s="182">
        <f>'[7]Formati 2.1 Sipas Tavaneve'!F197</f>
        <v>0</v>
      </c>
      <c r="F197" s="182">
        <f>'[7]Formati 2.1 Sipas Tavaneve'!G197</f>
        <v>-1</v>
      </c>
    </row>
    <row r="198" spans="2:6" ht="15.75" thickBot="1" x14ac:dyDescent="0.3">
      <c r="B198" s="65" t="str">
        <f>'[7]Formati 2.1 Sipas Tavaneve'!C198</f>
        <v>231. Aktivet e trupëzuara</v>
      </c>
      <c r="C198" s="236">
        <f>'[7]Formati 2.1 Sipas Tavaneve'!D198</f>
        <v>0</v>
      </c>
      <c r="D198" s="236">
        <f>'[7]Formati 2.1 Sipas Tavaneve'!E198</f>
        <v>0</v>
      </c>
      <c r="E198" s="236">
        <f>'[7]Formati 2.1 Sipas Tavaneve'!F198</f>
        <v>0</v>
      </c>
      <c r="F198" s="236">
        <f>'[7]Formati 2.1 Sipas Tavaneve'!G198</f>
        <v>0</v>
      </c>
    </row>
    <row r="199" spans="2:6" ht="15.75" thickBot="1" x14ac:dyDescent="0.3">
      <c r="B199" s="181" t="str">
        <f>'[7]Formati 2.1 Sipas Tavaneve'!C199</f>
        <v>Ndryshimi në % i Aktiveve të Trupëzuara</v>
      </c>
      <c r="C199" s="165">
        <f>'[7]Formati 2.1 Sipas Tavaneve'!D199</f>
        <v>0</v>
      </c>
      <c r="D199" s="182" t="e">
        <f>'[7]Formati 2.1 Sipas Tavaneve'!E199</f>
        <v>#DIV/0!</v>
      </c>
      <c r="E199" s="182" t="e">
        <f>'[7]Formati 2.1 Sipas Tavaneve'!F199</f>
        <v>#DIV/0!</v>
      </c>
      <c r="F199" s="182" t="e">
        <f>'[7]Formati 2.1 Sipas Tavaneve'!G199</f>
        <v>#DIV/0!</v>
      </c>
    </row>
    <row r="200" spans="2:6" ht="15.75" thickBot="1" x14ac:dyDescent="0.3">
      <c r="B200" s="166" t="str">
        <f>'[7]Formati 2.1 Sipas Tavaneve'!C200</f>
        <v>Kontroll</v>
      </c>
      <c r="C200" s="167">
        <f>'[7]Formati 2.1 Sipas Tavaneve'!D200</f>
        <v>0</v>
      </c>
      <c r="D200" s="167">
        <f>'[7]Formati 2.1 Sipas Tavaneve'!E200</f>
        <v>0</v>
      </c>
      <c r="E200" s="167">
        <f>'[7]Formati 2.1 Sipas Tavaneve'!F200</f>
        <v>0</v>
      </c>
      <c r="F200" s="167" t="str">
        <f>'[7]Formati 2.1 Sipas Tavaneve'!G200</f>
        <v>Error</v>
      </c>
    </row>
    <row r="201" spans="2:6" ht="15.75" thickBot="1" x14ac:dyDescent="0.3">
      <c r="B201" s="183" t="str">
        <f>'[7]Formati 2.1 Sipas Tavaneve'!C201</f>
        <v>Numri i Punonjësve Organik të Programit Buxhetor</v>
      </c>
      <c r="C201" s="164">
        <f>'[7]Formati 2.1 Sipas Tavaneve'!D201</f>
        <v>23</v>
      </c>
      <c r="D201" s="164">
        <f>'[7]Formati 2.1 Sipas Tavaneve'!E201</f>
        <v>23</v>
      </c>
      <c r="E201" s="164">
        <f>'[7]Formati 2.1 Sipas Tavaneve'!F201</f>
        <v>23</v>
      </c>
      <c r="F201" s="164">
        <f>'[7]Formati 2.1 Sipas Tavaneve'!G201</f>
        <v>23</v>
      </c>
    </row>
    <row r="202" spans="2:6" ht="30.75" thickBot="1" x14ac:dyDescent="0.3">
      <c r="B202" s="183" t="str">
        <f>'[7]Formati 2.1 Sipas Tavaneve'!C202</f>
        <v>Numri i Punonjësve me Kontratë të Programit Buxhetor</v>
      </c>
      <c r="C202" s="164">
        <f>'[7]Formati 2.1 Sipas Tavaneve'!D202</f>
        <v>1</v>
      </c>
      <c r="D202" s="164">
        <f>'[7]Formati 2.1 Sipas Tavaneve'!E202</f>
        <v>1</v>
      </c>
      <c r="E202" s="164">
        <f>'[7]Formati 2.1 Sipas Tavaneve'!F202</f>
        <v>1</v>
      </c>
      <c r="F202" s="164">
        <f>'[7]Formati 2.1 Sipas Tavaneve'!G202</f>
        <v>1</v>
      </c>
    </row>
    <row r="203" spans="2:6" x14ac:dyDescent="0.25">
      <c r="B203" s="184"/>
      <c r="C203" s="185"/>
      <c r="D203" s="185"/>
      <c r="E203" s="185"/>
      <c r="F203" s="185"/>
    </row>
  </sheetData>
  <mergeCells count="63">
    <mergeCell ref="C163:F163"/>
    <mergeCell ref="B164:B165"/>
    <mergeCell ref="B172:F172"/>
    <mergeCell ref="B173:B174"/>
    <mergeCell ref="B153:B154"/>
    <mergeCell ref="B158:F158"/>
    <mergeCell ref="B159:F159"/>
    <mergeCell ref="C160:F160"/>
    <mergeCell ref="C161:F161"/>
    <mergeCell ref="C162:F162"/>
    <mergeCell ref="B152:F152"/>
    <mergeCell ref="C122:F122"/>
    <mergeCell ref="B123:B124"/>
    <mergeCell ref="B131:F131"/>
    <mergeCell ref="B132:B133"/>
    <mergeCell ref="B137:B139"/>
    <mergeCell ref="C137:F139"/>
    <mergeCell ref="C140:F140"/>
    <mergeCell ref="C141:F141"/>
    <mergeCell ref="C142:F142"/>
    <mergeCell ref="C143:F143"/>
    <mergeCell ref="B144:B145"/>
    <mergeCell ref="C121:F121"/>
    <mergeCell ref="B82:B83"/>
    <mergeCell ref="C93:F93"/>
    <mergeCell ref="C94:F94"/>
    <mergeCell ref="C95:F95"/>
    <mergeCell ref="B97:B98"/>
    <mergeCell ref="B104:F104"/>
    <mergeCell ref="B105:B106"/>
    <mergeCell ref="B117:F117"/>
    <mergeCell ref="B118:F118"/>
    <mergeCell ref="C119:F119"/>
    <mergeCell ref="C120:F120"/>
    <mergeCell ref="B81:F81"/>
    <mergeCell ref="B36:B37"/>
    <mergeCell ref="C47:F47"/>
    <mergeCell ref="C48:F48"/>
    <mergeCell ref="C49:F49"/>
    <mergeCell ref="B51:B52"/>
    <mergeCell ref="B58:F58"/>
    <mergeCell ref="B59:B60"/>
    <mergeCell ref="C70:F70"/>
    <mergeCell ref="C71:F71"/>
    <mergeCell ref="C72:F72"/>
    <mergeCell ref="B74:B75"/>
    <mergeCell ref="B35:F35"/>
    <mergeCell ref="B9:F10"/>
    <mergeCell ref="C11:F11"/>
    <mergeCell ref="B12:B13"/>
    <mergeCell ref="C16:F16"/>
    <mergeCell ref="B17:F17"/>
    <mergeCell ref="B22:F22"/>
    <mergeCell ref="B23:F23"/>
    <mergeCell ref="C24:F24"/>
    <mergeCell ref="C25:F25"/>
    <mergeCell ref="C26:F26"/>
    <mergeCell ref="B27:B28"/>
    <mergeCell ref="B8:F8"/>
    <mergeCell ref="B3:F3"/>
    <mergeCell ref="C5:F5"/>
    <mergeCell ref="C6:F6"/>
    <mergeCell ref="C7:F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235"/>
  <sheetViews>
    <sheetView topLeftCell="A202" workbookViewId="0">
      <selection activeCell="C211" sqref="C211"/>
    </sheetView>
  </sheetViews>
  <sheetFormatPr defaultRowHeight="15" x14ac:dyDescent="0.25"/>
  <cols>
    <col min="1" max="1" width="9.140625" style="152"/>
    <col min="2" max="2" width="49.85546875" style="152" bestFit="1" customWidth="1"/>
    <col min="3" max="3" width="20.140625" style="152" customWidth="1"/>
    <col min="4" max="4" width="24.42578125" style="152" customWidth="1"/>
    <col min="5" max="5" width="20.5703125" style="152" customWidth="1"/>
    <col min="6" max="6" width="24" style="152" customWidth="1"/>
    <col min="7" max="16384" width="9.140625" style="152"/>
  </cols>
  <sheetData>
    <row r="3" spans="2:6" x14ac:dyDescent="0.25">
      <c r="B3" s="1559"/>
      <c r="C3" s="1559"/>
      <c r="D3" s="1559"/>
      <c r="E3" s="1559"/>
      <c r="F3" s="1559"/>
    </row>
    <row r="4" spans="2:6" x14ac:dyDescent="0.25">
      <c r="B4" s="1559" t="s">
        <v>0</v>
      </c>
      <c r="C4" s="1559"/>
      <c r="D4" s="1559"/>
      <c r="E4" s="1559"/>
      <c r="F4" s="1559"/>
    </row>
    <row r="5" spans="2:6" ht="15.75" thickBot="1" x14ac:dyDescent="0.3">
      <c r="B5" s="675"/>
      <c r="C5" s="675"/>
      <c r="D5" s="675"/>
      <c r="E5" s="675"/>
      <c r="F5" s="675"/>
    </row>
    <row r="6" spans="2:6" ht="15.75" thickBot="1" x14ac:dyDescent="0.3">
      <c r="B6" s="676" t="s">
        <v>2</v>
      </c>
      <c r="C6" s="1560" t="s">
        <v>1155</v>
      </c>
      <c r="D6" s="1560"/>
      <c r="E6" s="1560"/>
      <c r="F6" s="1560"/>
    </row>
    <row r="7" spans="2:6" ht="15.75" thickBot="1" x14ac:dyDescent="0.3">
      <c r="B7" s="676" t="s">
        <v>3</v>
      </c>
      <c r="C7" s="1561" t="s">
        <v>1156</v>
      </c>
      <c r="D7" s="1562"/>
      <c r="E7" s="1562"/>
      <c r="F7" s="1563"/>
    </row>
    <row r="8" spans="2:6" ht="15.75" thickBot="1" x14ac:dyDescent="0.3">
      <c r="B8" s="676" t="s">
        <v>5</v>
      </c>
      <c r="C8" s="1564" t="s">
        <v>6</v>
      </c>
      <c r="D8" s="1565"/>
      <c r="E8" s="1565"/>
      <c r="F8" s="1566"/>
    </row>
    <row r="9" spans="2:6" ht="15.75" thickBot="1" x14ac:dyDescent="0.3">
      <c r="B9" s="1556" t="s">
        <v>7</v>
      </c>
      <c r="C9" s="1557"/>
      <c r="D9" s="1557"/>
      <c r="E9" s="1557"/>
      <c r="F9" s="1558"/>
    </row>
    <row r="10" spans="2:6" ht="15.75" thickBot="1" x14ac:dyDescent="0.3">
      <c r="B10" s="1569" t="s">
        <v>1157</v>
      </c>
      <c r="C10" s="1460"/>
      <c r="D10" s="1460"/>
      <c r="E10" s="1460"/>
      <c r="F10" s="1570"/>
    </row>
    <row r="11" spans="2:6" ht="15.75" thickBot="1" x14ac:dyDescent="0.3">
      <c r="B11" s="1569"/>
      <c r="C11" s="1460"/>
      <c r="D11" s="1460"/>
      <c r="E11" s="1460"/>
      <c r="F11" s="1570"/>
    </row>
    <row r="12" spans="2:6" ht="40.5" customHeight="1" thickBot="1" x14ac:dyDescent="0.3">
      <c r="B12" s="1569"/>
      <c r="C12" s="1460"/>
      <c r="D12" s="1460"/>
      <c r="E12" s="1460"/>
      <c r="F12" s="1570"/>
    </row>
    <row r="13" spans="2:6" ht="42.75" customHeight="1" thickBot="1" x14ac:dyDescent="0.3">
      <c r="B13" s="677" t="s">
        <v>8</v>
      </c>
      <c r="C13" s="1571" t="s">
        <v>1158</v>
      </c>
      <c r="D13" s="1572"/>
      <c r="E13" s="1572"/>
      <c r="F13" s="1573"/>
    </row>
    <row r="14" spans="2:6" x14ac:dyDescent="0.25">
      <c r="B14" s="1567" t="s">
        <v>9</v>
      </c>
      <c r="C14" s="678">
        <v>2018</v>
      </c>
      <c r="D14" s="678">
        <v>2019</v>
      </c>
      <c r="E14" s="678">
        <v>2020</v>
      </c>
      <c r="F14" s="678">
        <v>2021</v>
      </c>
    </row>
    <row r="15" spans="2:6" ht="15.75" thickBot="1" x14ac:dyDescent="0.3">
      <c r="B15" s="1568"/>
      <c r="C15" s="679" t="s">
        <v>10</v>
      </c>
      <c r="D15" s="679" t="s">
        <v>11</v>
      </c>
      <c r="E15" s="679" t="s">
        <v>11</v>
      </c>
      <c r="F15" s="679" t="s">
        <v>11</v>
      </c>
    </row>
    <row r="16" spans="2:6" ht="15.75" thickBot="1" x14ac:dyDescent="0.3">
      <c r="B16" s="680" t="s">
        <v>1159</v>
      </c>
      <c r="C16" s="681" t="s">
        <v>1160</v>
      </c>
      <c r="D16" s="681" t="s">
        <v>1160</v>
      </c>
      <c r="E16" s="681" t="s">
        <v>1160</v>
      </c>
      <c r="F16" s="681" t="s">
        <v>1160</v>
      </c>
    </row>
    <row r="17" spans="2:6" ht="65.25" customHeight="1" thickBot="1" x14ac:dyDescent="0.3">
      <c r="B17" s="682" t="s">
        <v>12</v>
      </c>
      <c r="C17" s="1571" t="s">
        <v>1161</v>
      </c>
      <c r="D17" s="1574"/>
      <c r="E17" s="1574"/>
      <c r="F17" s="1575"/>
    </row>
    <row r="18" spans="2:6" ht="15.75" thickBot="1" x14ac:dyDescent="0.3">
      <c r="B18" s="1564" t="s">
        <v>13</v>
      </c>
      <c r="C18" s="1565"/>
      <c r="D18" s="1565"/>
      <c r="E18" s="1565"/>
      <c r="F18" s="1566"/>
    </row>
    <row r="19" spans="2:6" ht="30.75" thickBot="1" x14ac:dyDescent="0.3">
      <c r="B19" s="680" t="s">
        <v>1162</v>
      </c>
      <c r="C19" s="681" t="s">
        <v>1160</v>
      </c>
      <c r="D19" s="681" t="s">
        <v>1160</v>
      </c>
      <c r="E19" s="681" t="s">
        <v>1160</v>
      </c>
      <c r="F19" s="681" t="s">
        <v>1160</v>
      </c>
    </row>
    <row r="20" spans="2:6" ht="15.75" thickBot="1" x14ac:dyDescent="0.3">
      <c r="B20" s="1569" t="s">
        <v>14</v>
      </c>
      <c r="C20" s="1460"/>
      <c r="D20" s="1460"/>
      <c r="E20" s="1460"/>
      <c r="F20" s="1570"/>
    </row>
    <row r="21" spans="2:6" ht="15.75" thickBot="1" x14ac:dyDescent="0.3">
      <c r="B21" s="683" t="s">
        <v>16</v>
      </c>
      <c r="C21" s="1553" t="s">
        <v>1163</v>
      </c>
      <c r="D21" s="1554"/>
      <c r="E21" s="1554"/>
      <c r="F21" s="1555"/>
    </row>
    <row r="22" spans="2:6" ht="51.75" customHeight="1" thickBot="1" x14ac:dyDescent="0.3">
      <c r="B22" s="668" t="s">
        <v>17</v>
      </c>
      <c r="C22" s="1571" t="s">
        <v>1164</v>
      </c>
      <c r="D22" s="1574"/>
      <c r="E22" s="1574"/>
      <c r="F22" s="1575"/>
    </row>
    <row r="23" spans="2:6" ht="15.75" thickBot="1" x14ac:dyDescent="0.3">
      <c r="B23" s="668" t="s">
        <v>18</v>
      </c>
      <c r="C23" s="1553" t="s">
        <v>1165</v>
      </c>
      <c r="D23" s="1554"/>
      <c r="E23" s="1554"/>
      <c r="F23" s="1555"/>
    </row>
    <row r="24" spans="2:6" x14ac:dyDescent="0.25">
      <c r="B24" s="1567"/>
      <c r="C24" s="684">
        <v>2018</v>
      </c>
      <c r="D24" s="684">
        <v>2019</v>
      </c>
      <c r="E24" s="684">
        <v>2020</v>
      </c>
      <c r="F24" s="684">
        <v>2021</v>
      </c>
    </row>
    <row r="25" spans="2:6" ht="15.75" thickBot="1" x14ac:dyDescent="0.3">
      <c r="B25" s="1568"/>
      <c r="C25" s="685" t="s">
        <v>10</v>
      </c>
      <c r="D25" s="685" t="s">
        <v>11</v>
      </c>
      <c r="E25" s="685" t="s">
        <v>11</v>
      </c>
      <c r="F25" s="685" t="s">
        <v>11</v>
      </c>
    </row>
    <row r="26" spans="2:6" ht="15.75" thickBot="1" x14ac:dyDescent="0.3">
      <c r="B26" s="668" t="s">
        <v>19</v>
      </c>
      <c r="C26" s="686">
        <v>4</v>
      </c>
      <c r="D26" s="686">
        <v>4</v>
      </c>
      <c r="E26" s="686">
        <v>4</v>
      </c>
      <c r="F26" s="686">
        <v>4</v>
      </c>
    </row>
    <row r="27" spans="2:6" ht="15.75" thickBot="1" x14ac:dyDescent="0.3">
      <c r="B27" s="668" t="s">
        <v>20</v>
      </c>
      <c r="C27" s="686">
        <f>C62</f>
        <v>120640</v>
      </c>
      <c r="D27" s="686">
        <f t="shared" ref="D27:F27" si="0">D62</f>
        <v>120590</v>
      </c>
      <c r="E27" s="686">
        <f t="shared" si="0"/>
        <v>121110</v>
      </c>
      <c r="F27" s="686">
        <f t="shared" si="0"/>
        <v>121990</v>
      </c>
    </row>
    <row r="28" spans="2:6" ht="15.75" thickBot="1" x14ac:dyDescent="0.3">
      <c r="B28" s="668" t="s">
        <v>21</v>
      </c>
      <c r="C28" s="686">
        <f>C27/C26</f>
        <v>30160</v>
      </c>
      <c r="D28" s="686">
        <f t="shared" ref="D28:F28" si="1">D27/D26</f>
        <v>30147.5</v>
      </c>
      <c r="E28" s="686">
        <f t="shared" si="1"/>
        <v>30277.5</v>
      </c>
      <c r="F28" s="686">
        <f t="shared" si="1"/>
        <v>30497.5</v>
      </c>
    </row>
    <row r="29" spans="2:6" ht="15.75" thickBot="1" x14ac:dyDescent="0.3">
      <c r="B29" s="668" t="s">
        <v>22</v>
      </c>
      <c r="C29" s="687" t="s">
        <v>23</v>
      </c>
      <c r="D29" s="688">
        <f>D26/C26-1</f>
        <v>0</v>
      </c>
      <c r="E29" s="688">
        <f t="shared" ref="E29:F31" si="2">E26/D26-1</f>
        <v>0</v>
      </c>
      <c r="F29" s="688">
        <f t="shared" si="2"/>
        <v>0</v>
      </c>
    </row>
    <row r="30" spans="2:6" ht="15.75" thickBot="1" x14ac:dyDescent="0.3">
      <c r="B30" s="668" t="s">
        <v>24</v>
      </c>
      <c r="C30" s="687" t="s">
        <v>23</v>
      </c>
      <c r="D30" s="688">
        <f>D27/C27-1</f>
        <v>-4.1445623342173388E-4</v>
      </c>
      <c r="E30" s="688">
        <f t="shared" si="2"/>
        <v>4.3121320175802946E-3</v>
      </c>
      <c r="F30" s="688">
        <f t="shared" si="2"/>
        <v>7.2661217075387086E-3</v>
      </c>
    </row>
    <row r="31" spans="2:6" ht="15.75" thickBot="1" x14ac:dyDescent="0.3">
      <c r="B31" s="668" t="s">
        <v>25</v>
      </c>
      <c r="C31" s="687" t="s">
        <v>23</v>
      </c>
      <c r="D31" s="688">
        <f>D28/C28-1</f>
        <v>-4.1445623342173388E-4</v>
      </c>
      <c r="E31" s="688">
        <f t="shared" si="2"/>
        <v>4.3121320175802946E-3</v>
      </c>
      <c r="F31" s="688">
        <f t="shared" si="2"/>
        <v>7.2661217075387086E-3</v>
      </c>
    </row>
    <row r="32" spans="2:6" ht="15.75" thickBot="1" x14ac:dyDescent="0.3">
      <c r="B32" s="1569" t="s">
        <v>118</v>
      </c>
      <c r="C32" s="1460"/>
      <c r="D32" s="1460"/>
      <c r="E32" s="1460"/>
      <c r="F32" s="1570"/>
    </row>
    <row r="33" spans="2:6" x14ac:dyDescent="0.25">
      <c r="B33" s="1567"/>
      <c r="C33" s="684">
        <v>2018</v>
      </c>
      <c r="D33" s="684">
        <v>2019</v>
      </c>
      <c r="E33" s="684">
        <v>2020</v>
      </c>
      <c r="F33" s="684">
        <v>2021</v>
      </c>
    </row>
    <row r="34" spans="2:6" ht="15.75" thickBot="1" x14ac:dyDescent="0.3">
      <c r="B34" s="1568"/>
      <c r="C34" s="685" t="s">
        <v>10</v>
      </c>
      <c r="D34" s="685" t="s">
        <v>11</v>
      </c>
      <c r="E34" s="685" t="s">
        <v>11</v>
      </c>
      <c r="F34" s="685" t="s">
        <v>11</v>
      </c>
    </row>
    <row r="35" spans="2:6" ht="15.75" thickBot="1" x14ac:dyDescent="0.3">
      <c r="B35" s="689" t="s">
        <v>26</v>
      </c>
      <c r="C35" s="690">
        <v>5880</v>
      </c>
      <c r="D35" s="690">
        <v>6230</v>
      </c>
      <c r="E35" s="690">
        <v>6280</v>
      </c>
      <c r="F35" s="690">
        <v>6280</v>
      </c>
    </row>
    <row r="36" spans="2:6" ht="30.75" thickBot="1" x14ac:dyDescent="0.3">
      <c r="B36" s="691" t="s">
        <v>27</v>
      </c>
      <c r="C36" s="692"/>
      <c r="D36" s="693"/>
      <c r="E36" s="693"/>
      <c r="F36" s="693"/>
    </row>
    <row r="37" spans="2:6" ht="30.75" thickBot="1" x14ac:dyDescent="0.3">
      <c r="B37" s="691" t="s">
        <v>45</v>
      </c>
      <c r="C37" s="692"/>
      <c r="D37" s="694"/>
      <c r="E37" s="694"/>
      <c r="F37" s="694"/>
    </row>
    <row r="38" spans="2:6" ht="15.75" thickBot="1" x14ac:dyDescent="0.3">
      <c r="B38" s="689" t="s">
        <v>28</v>
      </c>
      <c r="C38" s="690">
        <v>960</v>
      </c>
      <c r="D38" s="690">
        <v>1010</v>
      </c>
      <c r="E38" s="690">
        <v>1010</v>
      </c>
      <c r="F38" s="690">
        <v>1010</v>
      </c>
    </row>
    <row r="39" spans="2:6" ht="30.75" thickBot="1" x14ac:dyDescent="0.3">
      <c r="B39" s="691" t="s">
        <v>29</v>
      </c>
      <c r="C39" s="692"/>
      <c r="D39" s="690"/>
      <c r="E39" s="690"/>
      <c r="F39" s="690"/>
    </row>
    <row r="40" spans="2:6" ht="30.75" thickBot="1" x14ac:dyDescent="0.3">
      <c r="B40" s="691" t="s">
        <v>46</v>
      </c>
      <c r="C40" s="692"/>
      <c r="D40" s="690"/>
      <c r="E40" s="690"/>
      <c r="F40" s="690"/>
    </row>
    <row r="41" spans="2:6" ht="15.75" thickBot="1" x14ac:dyDescent="0.3">
      <c r="B41" s="689" t="s">
        <v>30</v>
      </c>
      <c r="C41" s="692">
        <v>4800</v>
      </c>
      <c r="D41" s="692">
        <v>4350</v>
      </c>
      <c r="E41" s="692">
        <v>4500</v>
      </c>
      <c r="F41" s="692">
        <v>4600</v>
      </c>
    </row>
    <row r="42" spans="2:6" ht="30.75" thickBot="1" x14ac:dyDescent="0.3">
      <c r="B42" s="691" t="s">
        <v>31</v>
      </c>
      <c r="C42" s="692"/>
      <c r="D42" s="690"/>
      <c r="E42" s="690"/>
      <c r="F42" s="690"/>
    </row>
    <row r="43" spans="2:6" ht="30.75" thickBot="1" x14ac:dyDescent="0.3">
      <c r="B43" s="691" t="s">
        <v>47</v>
      </c>
      <c r="C43" s="692"/>
      <c r="D43" s="690"/>
      <c r="E43" s="690"/>
      <c r="F43" s="690"/>
    </row>
    <row r="44" spans="2:6" ht="15.75" thickBot="1" x14ac:dyDescent="0.3">
      <c r="B44" s="689" t="s">
        <v>32</v>
      </c>
      <c r="C44" s="692"/>
      <c r="D44" s="690"/>
      <c r="E44" s="690"/>
      <c r="F44" s="690"/>
    </row>
    <row r="45" spans="2:6" ht="30.75" thickBot="1" x14ac:dyDescent="0.3">
      <c r="B45" s="691" t="s">
        <v>33</v>
      </c>
      <c r="C45" s="692"/>
      <c r="D45" s="690"/>
      <c r="E45" s="690"/>
      <c r="F45" s="690"/>
    </row>
    <row r="46" spans="2:6" ht="30.75" thickBot="1" x14ac:dyDescent="0.3">
      <c r="B46" s="691" t="s">
        <v>48</v>
      </c>
      <c r="C46" s="692"/>
      <c r="D46" s="690"/>
      <c r="E46" s="690"/>
      <c r="F46" s="690"/>
    </row>
    <row r="47" spans="2:6" ht="15.75" thickBot="1" x14ac:dyDescent="0.3">
      <c r="B47" s="689" t="s">
        <v>34</v>
      </c>
      <c r="C47" s="692">
        <v>109000</v>
      </c>
      <c r="D47" s="690">
        <v>109000</v>
      </c>
      <c r="E47" s="690">
        <v>109320</v>
      </c>
      <c r="F47" s="690">
        <v>110100</v>
      </c>
    </row>
    <row r="48" spans="2:6" ht="30.75" thickBot="1" x14ac:dyDescent="0.3">
      <c r="B48" s="691" t="s">
        <v>35</v>
      </c>
      <c r="C48" s="692"/>
      <c r="D48" s="690"/>
      <c r="E48" s="690"/>
      <c r="F48" s="690"/>
    </row>
    <row r="49" spans="2:6" ht="30.75" thickBot="1" x14ac:dyDescent="0.3">
      <c r="B49" s="691" t="s">
        <v>49</v>
      </c>
      <c r="C49" s="692"/>
      <c r="D49" s="690"/>
      <c r="E49" s="690"/>
      <c r="F49" s="690"/>
    </row>
    <row r="50" spans="2:6" ht="15.75" thickBot="1" x14ac:dyDescent="0.3">
      <c r="B50" s="689" t="s">
        <v>36</v>
      </c>
      <c r="C50" s="692"/>
      <c r="D50" s="690"/>
      <c r="E50" s="690"/>
      <c r="F50" s="690"/>
    </row>
    <row r="51" spans="2:6" ht="30.75" thickBot="1" x14ac:dyDescent="0.3">
      <c r="B51" s="691" t="s">
        <v>37</v>
      </c>
      <c r="C51" s="692"/>
      <c r="D51" s="690"/>
      <c r="E51" s="690"/>
      <c r="F51" s="690"/>
    </row>
    <row r="52" spans="2:6" ht="30.75" thickBot="1" x14ac:dyDescent="0.3">
      <c r="B52" s="691" t="s">
        <v>50</v>
      </c>
      <c r="C52" s="692"/>
      <c r="D52" s="690"/>
      <c r="E52" s="690"/>
      <c r="F52" s="690"/>
    </row>
    <row r="53" spans="2:6" ht="15.75" thickBot="1" x14ac:dyDescent="0.3">
      <c r="B53" s="689" t="s">
        <v>38</v>
      </c>
      <c r="C53" s="692"/>
      <c r="D53" s="690"/>
      <c r="E53" s="690"/>
      <c r="F53" s="690"/>
    </row>
    <row r="54" spans="2:6" ht="30.75" thickBot="1" x14ac:dyDescent="0.3">
      <c r="B54" s="691" t="s">
        <v>39</v>
      </c>
      <c r="C54" s="692"/>
      <c r="D54" s="690"/>
      <c r="E54" s="690"/>
      <c r="F54" s="690"/>
    </row>
    <row r="55" spans="2:6" ht="30.75" thickBot="1" x14ac:dyDescent="0.3">
      <c r="B55" s="691" t="s">
        <v>51</v>
      </c>
      <c r="C55" s="692"/>
      <c r="D55" s="690"/>
      <c r="E55" s="690"/>
      <c r="F55" s="690"/>
    </row>
    <row r="56" spans="2:6" ht="15.75" thickBot="1" x14ac:dyDescent="0.3">
      <c r="B56" s="689" t="s">
        <v>92</v>
      </c>
      <c r="C56" s="692"/>
      <c r="D56" s="690"/>
      <c r="E56" s="690"/>
      <c r="F56" s="690"/>
    </row>
    <row r="57" spans="2:6" ht="30.75" thickBot="1" x14ac:dyDescent="0.3">
      <c r="B57" s="691" t="s">
        <v>1166</v>
      </c>
      <c r="C57" s="692"/>
      <c r="D57" s="690"/>
      <c r="E57" s="690"/>
      <c r="F57" s="690"/>
    </row>
    <row r="58" spans="2:6" ht="30.75" thickBot="1" x14ac:dyDescent="0.3">
      <c r="B58" s="691" t="s">
        <v>1167</v>
      </c>
      <c r="C58" s="692"/>
      <c r="D58" s="690"/>
      <c r="E58" s="690"/>
      <c r="F58" s="690"/>
    </row>
    <row r="59" spans="2:6" ht="15.75" thickBot="1" x14ac:dyDescent="0.3">
      <c r="B59" s="689" t="s">
        <v>94</v>
      </c>
      <c r="C59" s="692"/>
      <c r="D59" s="690"/>
      <c r="E59" s="690"/>
      <c r="F59" s="690"/>
    </row>
    <row r="60" spans="2:6" ht="30.75" thickBot="1" x14ac:dyDescent="0.3">
      <c r="B60" s="691" t="s">
        <v>1168</v>
      </c>
      <c r="C60" s="692"/>
      <c r="D60" s="690"/>
      <c r="E60" s="690"/>
      <c r="F60" s="690"/>
    </row>
    <row r="61" spans="2:6" ht="30.75" thickBot="1" x14ac:dyDescent="0.3">
      <c r="B61" s="691" t="s">
        <v>1169</v>
      </c>
      <c r="C61" s="692"/>
      <c r="D61" s="690"/>
      <c r="E61" s="690"/>
      <c r="F61" s="690"/>
    </row>
    <row r="62" spans="2:6" ht="15.75" thickBot="1" x14ac:dyDescent="0.3">
      <c r="B62" s="695" t="s">
        <v>40</v>
      </c>
      <c r="C62" s="692">
        <f>C59+C56+C53+C50+C47+C44+C41+C38+C35</f>
        <v>120640</v>
      </c>
      <c r="D62" s="692">
        <f t="shared" ref="D62:F62" si="3">D59+D56+D53+D50+D47+D44+D41+D38+D35</f>
        <v>120590</v>
      </c>
      <c r="E62" s="692">
        <f t="shared" si="3"/>
        <v>121110</v>
      </c>
      <c r="F62" s="692">
        <f t="shared" si="3"/>
        <v>121990</v>
      </c>
    </row>
    <row r="63" spans="2:6" x14ac:dyDescent="0.25">
      <c r="B63" s="1576" t="s">
        <v>1170</v>
      </c>
      <c r="C63" s="1579"/>
      <c r="D63" s="1580"/>
      <c r="E63" s="1580"/>
      <c r="F63" s="1581"/>
    </row>
    <row r="64" spans="2:6" x14ac:dyDescent="0.25">
      <c r="B64" s="1577"/>
      <c r="C64" s="1582"/>
      <c r="D64" s="1583"/>
      <c r="E64" s="1583"/>
      <c r="F64" s="1584"/>
    </row>
    <row r="65" spans="2:6" ht="15.75" thickBot="1" x14ac:dyDescent="0.3">
      <c r="B65" s="1578"/>
      <c r="C65" s="1585"/>
      <c r="D65" s="1586"/>
      <c r="E65" s="1586"/>
      <c r="F65" s="1587"/>
    </row>
    <row r="66" spans="2:6" ht="15.75" thickBot="1" x14ac:dyDescent="0.3">
      <c r="B66" s="682" t="s">
        <v>41</v>
      </c>
      <c r="C66" s="696">
        <f>IF(C62-C27=0,0,"Error")</f>
        <v>0</v>
      </c>
      <c r="D66" s="696">
        <f t="shared" ref="D66:F66" si="4">IF(D62-D27=0,0,"Error")</f>
        <v>0</v>
      </c>
      <c r="E66" s="696">
        <f t="shared" si="4"/>
        <v>0</v>
      </c>
      <c r="F66" s="696">
        <f t="shared" si="4"/>
        <v>0</v>
      </c>
    </row>
    <row r="67" spans="2:6" ht="15.75" thickBot="1" x14ac:dyDescent="0.3">
      <c r="B67" s="682" t="s">
        <v>1171</v>
      </c>
      <c r="C67" s="1553" t="s">
        <v>1172</v>
      </c>
      <c r="D67" s="1554"/>
      <c r="E67" s="1554"/>
      <c r="F67" s="1555"/>
    </row>
    <row r="68" spans="2:6" ht="35.25" customHeight="1" thickBot="1" x14ac:dyDescent="0.3">
      <c r="B68" s="668" t="s">
        <v>17</v>
      </c>
      <c r="C68" s="1564" t="s">
        <v>1173</v>
      </c>
      <c r="D68" s="1565"/>
      <c r="E68" s="1565"/>
      <c r="F68" s="1566"/>
    </row>
    <row r="69" spans="2:6" ht="15.75" thickBot="1" x14ac:dyDescent="0.3">
      <c r="B69" s="668" t="s">
        <v>18</v>
      </c>
      <c r="C69" s="1553" t="s">
        <v>1174</v>
      </c>
      <c r="D69" s="1554"/>
      <c r="E69" s="1554"/>
      <c r="F69" s="1555"/>
    </row>
    <row r="70" spans="2:6" ht="15.75" thickBot="1" x14ac:dyDescent="0.3">
      <c r="B70" s="668" t="s">
        <v>19</v>
      </c>
      <c r="C70" s="686">
        <v>450</v>
      </c>
      <c r="D70" s="686">
        <v>0</v>
      </c>
      <c r="E70" s="686">
        <v>0</v>
      </c>
      <c r="F70" s="686">
        <v>0</v>
      </c>
    </row>
    <row r="71" spans="2:6" x14ac:dyDescent="0.25">
      <c r="B71" s="1567"/>
      <c r="C71" s="684">
        <v>2018</v>
      </c>
      <c r="D71" s="684">
        <v>2019</v>
      </c>
      <c r="E71" s="684">
        <v>2020</v>
      </c>
      <c r="F71" s="684">
        <v>2021</v>
      </c>
    </row>
    <row r="72" spans="2:6" ht="15.75" thickBot="1" x14ac:dyDescent="0.3">
      <c r="B72" s="1568"/>
      <c r="C72" s="685" t="s">
        <v>10</v>
      </c>
      <c r="D72" s="685" t="s">
        <v>11</v>
      </c>
      <c r="E72" s="685" t="s">
        <v>11</v>
      </c>
      <c r="F72" s="685" t="s">
        <v>11</v>
      </c>
    </row>
    <row r="73" spans="2:6" ht="15.75" thickBot="1" x14ac:dyDescent="0.3">
      <c r="B73" s="668" t="s">
        <v>20</v>
      </c>
      <c r="C73" s="686">
        <f>C108</f>
        <v>7760</v>
      </c>
      <c r="D73" s="686">
        <v>0</v>
      </c>
      <c r="E73" s="686">
        <v>0</v>
      </c>
      <c r="F73" s="686">
        <v>0</v>
      </c>
    </row>
    <row r="74" spans="2:6" ht="15.75" thickBot="1" x14ac:dyDescent="0.3">
      <c r="B74" s="668" t="s">
        <v>21</v>
      </c>
      <c r="C74" s="686">
        <f>C73/C70</f>
        <v>17.244444444444444</v>
      </c>
      <c r="D74" s="686" t="e">
        <f>D73/D70</f>
        <v>#DIV/0!</v>
      </c>
      <c r="E74" s="686" t="e">
        <f>E73/E70</f>
        <v>#DIV/0!</v>
      </c>
      <c r="F74" s="686" t="e">
        <f>F73/F70</f>
        <v>#DIV/0!</v>
      </c>
    </row>
    <row r="75" spans="2:6" ht="15.75" thickBot="1" x14ac:dyDescent="0.3">
      <c r="B75" s="668" t="s">
        <v>22</v>
      </c>
      <c r="C75" s="687"/>
      <c r="D75" s="688">
        <f>D70/C70-1</f>
        <v>-1</v>
      </c>
      <c r="E75" s="688" t="e">
        <f>E70/D70-1</f>
        <v>#DIV/0!</v>
      </c>
      <c r="F75" s="688" t="e">
        <f>F70/E70-1</f>
        <v>#DIV/0!</v>
      </c>
    </row>
    <row r="76" spans="2:6" ht="15.75" thickBot="1" x14ac:dyDescent="0.3">
      <c r="B76" s="668" t="s">
        <v>24</v>
      </c>
      <c r="C76" s="687"/>
      <c r="D76" s="688">
        <f>D73/C73-1</f>
        <v>-1</v>
      </c>
      <c r="E76" s="688" t="e">
        <f t="shared" ref="E76:F77" si="5">E73/D73-1</f>
        <v>#DIV/0!</v>
      </c>
      <c r="F76" s="688" t="e">
        <f t="shared" si="5"/>
        <v>#DIV/0!</v>
      </c>
    </row>
    <row r="77" spans="2:6" ht="15.75" thickBot="1" x14ac:dyDescent="0.3">
      <c r="B77" s="668" t="s">
        <v>25</v>
      </c>
      <c r="C77" s="687"/>
      <c r="D77" s="688" t="e">
        <f>D74/C74-1</f>
        <v>#DIV/0!</v>
      </c>
      <c r="E77" s="688" t="e">
        <f t="shared" si="5"/>
        <v>#DIV/0!</v>
      </c>
      <c r="F77" s="688" t="e">
        <f t="shared" si="5"/>
        <v>#DIV/0!</v>
      </c>
    </row>
    <row r="78" spans="2:6" ht="15.75" thickBot="1" x14ac:dyDescent="0.3">
      <c r="B78" s="1569" t="s">
        <v>891</v>
      </c>
      <c r="C78" s="1460"/>
      <c r="D78" s="1460"/>
      <c r="E78" s="1460"/>
      <c r="F78" s="1570"/>
    </row>
    <row r="79" spans="2:6" x14ac:dyDescent="0.25">
      <c r="B79" s="1567"/>
      <c r="C79" s="684">
        <v>2018</v>
      </c>
      <c r="D79" s="684">
        <v>2019</v>
      </c>
      <c r="E79" s="684">
        <v>2020</v>
      </c>
      <c r="F79" s="684">
        <v>2021</v>
      </c>
    </row>
    <row r="80" spans="2:6" ht="15.75" thickBot="1" x14ac:dyDescent="0.3">
      <c r="B80" s="1568"/>
      <c r="C80" s="685" t="s">
        <v>10</v>
      </c>
      <c r="D80" s="685" t="s">
        <v>11</v>
      </c>
      <c r="E80" s="685" t="s">
        <v>11</v>
      </c>
      <c r="F80" s="685" t="s">
        <v>11</v>
      </c>
    </row>
    <row r="81" spans="2:6" ht="15.75" thickBot="1" x14ac:dyDescent="0.3">
      <c r="B81" s="689" t="s">
        <v>26</v>
      </c>
      <c r="C81" s="690">
        <v>3920</v>
      </c>
      <c r="D81" s="690"/>
      <c r="E81" s="690"/>
      <c r="F81" s="690"/>
    </row>
    <row r="82" spans="2:6" ht="30.75" thickBot="1" x14ac:dyDescent="0.3">
      <c r="B82" s="691" t="s">
        <v>27</v>
      </c>
      <c r="C82" s="692"/>
      <c r="D82" s="694"/>
      <c r="E82" s="694"/>
      <c r="F82" s="694"/>
    </row>
    <row r="83" spans="2:6" ht="30.75" thickBot="1" x14ac:dyDescent="0.3">
      <c r="B83" s="691" t="s">
        <v>45</v>
      </c>
      <c r="C83" s="692"/>
      <c r="D83" s="694"/>
      <c r="E83" s="694"/>
      <c r="F83" s="694"/>
    </row>
    <row r="84" spans="2:6" ht="15.75" thickBot="1" x14ac:dyDescent="0.3">
      <c r="B84" s="689" t="s">
        <v>28</v>
      </c>
      <c r="C84" s="690">
        <v>640</v>
      </c>
      <c r="D84" s="690"/>
      <c r="E84" s="690"/>
      <c r="F84" s="690"/>
    </row>
    <row r="85" spans="2:6" ht="30.75" thickBot="1" x14ac:dyDescent="0.3">
      <c r="B85" s="691" t="s">
        <v>29</v>
      </c>
      <c r="C85" s="692"/>
      <c r="D85" s="690"/>
      <c r="E85" s="690"/>
      <c r="F85" s="690"/>
    </row>
    <row r="86" spans="2:6" ht="30.75" thickBot="1" x14ac:dyDescent="0.3">
      <c r="B86" s="691" t="s">
        <v>46</v>
      </c>
      <c r="C86" s="692"/>
      <c r="D86" s="690"/>
      <c r="E86" s="690"/>
      <c r="F86" s="690"/>
    </row>
    <row r="87" spans="2:6" ht="15.75" thickBot="1" x14ac:dyDescent="0.3">
      <c r="B87" s="689" t="s">
        <v>30</v>
      </c>
      <c r="C87" s="692">
        <v>3200</v>
      </c>
      <c r="D87" s="690"/>
      <c r="E87" s="690"/>
      <c r="F87" s="690"/>
    </row>
    <row r="88" spans="2:6" ht="30.75" thickBot="1" x14ac:dyDescent="0.3">
      <c r="B88" s="691" t="s">
        <v>31</v>
      </c>
      <c r="C88" s="692"/>
      <c r="D88" s="690"/>
      <c r="E88" s="690"/>
      <c r="F88" s="690"/>
    </row>
    <row r="89" spans="2:6" ht="30.75" thickBot="1" x14ac:dyDescent="0.3">
      <c r="B89" s="691" t="s">
        <v>47</v>
      </c>
      <c r="C89" s="692"/>
      <c r="D89" s="690"/>
      <c r="E89" s="690"/>
      <c r="F89" s="690"/>
    </row>
    <row r="90" spans="2:6" ht="15.75" thickBot="1" x14ac:dyDescent="0.3">
      <c r="B90" s="689" t="s">
        <v>32</v>
      </c>
      <c r="C90" s="692"/>
      <c r="D90" s="690"/>
      <c r="E90" s="690"/>
      <c r="F90" s="690"/>
    </row>
    <row r="91" spans="2:6" ht="30.75" thickBot="1" x14ac:dyDescent="0.3">
      <c r="B91" s="691" t="s">
        <v>33</v>
      </c>
      <c r="C91" s="692"/>
      <c r="D91" s="690"/>
      <c r="E91" s="690"/>
      <c r="F91" s="690"/>
    </row>
    <row r="92" spans="2:6" ht="30.75" thickBot="1" x14ac:dyDescent="0.3">
      <c r="B92" s="691" t="s">
        <v>48</v>
      </c>
      <c r="C92" s="692"/>
      <c r="D92" s="690"/>
      <c r="E92" s="690"/>
      <c r="F92" s="690"/>
    </row>
    <row r="93" spans="2:6" ht="15.75" thickBot="1" x14ac:dyDescent="0.3">
      <c r="B93" s="689" t="s">
        <v>34</v>
      </c>
      <c r="C93" s="692"/>
      <c r="D93" s="690"/>
      <c r="E93" s="690"/>
      <c r="F93" s="690"/>
    </row>
    <row r="94" spans="2:6" ht="30.75" thickBot="1" x14ac:dyDescent="0.3">
      <c r="B94" s="691" t="s">
        <v>35</v>
      </c>
      <c r="C94" s="692"/>
      <c r="D94" s="690"/>
      <c r="E94" s="690"/>
      <c r="F94" s="690"/>
    </row>
    <row r="95" spans="2:6" ht="30.75" thickBot="1" x14ac:dyDescent="0.3">
      <c r="B95" s="691" t="s">
        <v>49</v>
      </c>
      <c r="C95" s="692"/>
      <c r="D95" s="690"/>
      <c r="E95" s="690"/>
      <c r="F95" s="690"/>
    </row>
    <row r="96" spans="2:6" ht="15.75" thickBot="1" x14ac:dyDescent="0.3">
      <c r="B96" s="689" t="s">
        <v>36</v>
      </c>
      <c r="C96" s="692"/>
      <c r="D96" s="690"/>
      <c r="E96" s="690"/>
      <c r="F96" s="690"/>
    </row>
    <row r="97" spans="2:6" ht="30.75" thickBot="1" x14ac:dyDescent="0.3">
      <c r="B97" s="691" t="s">
        <v>37</v>
      </c>
      <c r="C97" s="692"/>
      <c r="D97" s="690"/>
      <c r="E97" s="690"/>
      <c r="F97" s="690"/>
    </row>
    <row r="98" spans="2:6" ht="30.75" thickBot="1" x14ac:dyDescent="0.3">
      <c r="B98" s="691" t="s">
        <v>50</v>
      </c>
      <c r="C98" s="692"/>
      <c r="D98" s="690"/>
      <c r="E98" s="690"/>
      <c r="F98" s="690"/>
    </row>
    <row r="99" spans="2:6" ht="15.75" thickBot="1" x14ac:dyDescent="0.3">
      <c r="B99" s="689" t="s">
        <v>38</v>
      </c>
      <c r="C99" s="692"/>
      <c r="D99" s="690"/>
      <c r="E99" s="690"/>
      <c r="F99" s="690"/>
    </row>
    <row r="100" spans="2:6" ht="30.75" thickBot="1" x14ac:dyDescent="0.3">
      <c r="B100" s="691" t="s">
        <v>39</v>
      </c>
      <c r="C100" s="692"/>
      <c r="D100" s="690"/>
      <c r="E100" s="690"/>
      <c r="F100" s="690"/>
    </row>
    <row r="101" spans="2:6" ht="30.75" thickBot="1" x14ac:dyDescent="0.3">
      <c r="B101" s="691" t="s">
        <v>51</v>
      </c>
      <c r="C101" s="692"/>
      <c r="D101" s="690"/>
      <c r="E101" s="690"/>
      <c r="F101" s="690"/>
    </row>
    <row r="102" spans="2:6" ht="15.75" thickBot="1" x14ac:dyDescent="0.3">
      <c r="B102" s="689" t="s">
        <v>92</v>
      </c>
      <c r="C102" s="692"/>
      <c r="D102" s="690"/>
      <c r="E102" s="690"/>
      <c r="F102" s="690"/>
    </row>
    <row r="103" spans="2:6" ht="30.75" thickBot="1" x14ac:dyDescent="0.3">
      <c r="B103" s="691" t="s">
        <v>1166</v>
      </c>
      <c r="C103" s="692"/>
      <c r="D103" s="690"/>
      <c r="E103" s="690"/>
      <c r="F103" s="690"/>
    </row>
    <row r="104" spans="2:6" ht="30.75" thickBot="1" x14ac:dyDescent="0.3">
      <c r="B104" s="691" t="s">
        <v>1167</v>
      </c>
      <c r="C104" s="692"/>
      <c r="D104" s="690"/>
      <c r="E104" s="690"/>
      <c r="F104" s="690"/>
    </row>
    <row r="105" spans="2:6" ht="15.75" thickBot="1" x14ac:dyDescent="0.3">
      <c r="B105" s="689" t="s">
        <v>94</v>
      </c>
      <c r="C105" s="692"/>
      <c r="D105" s="690"/>
      <c r="E105" s="690"/>
      <c r="F105" s="690"/>
    </row>
    <row r="106" spans="2:6" ht="30.75" thickBot="1" x14ac:dyDescent="0.3">
      <c r="B106" s="691" t="s">
        <v>1168</v>
      </c>
      <c r="C106" s="692"/>
      <c r="D106" s="690"/>
      <c r="E106" s="690"/>
      <c r="F106" s="690"/>
    </row>
    <row r="107" spans="2:6" ht="30.75" thickBot="1" x14ac:dyDescent="0.3">
      <c r="B107" s="691" t="s">
        <v>1169</v>
      </c>
      <c r="C107" s="692"/>
      <c r="D107" s="690"/>
      <c r="E107" s="690"/>
      <c r="F107" s="690"/>
    </row>
    <row r="108" spans="2:6" ht="15.75" thickBot="1" x14ac:dyDescent="0.3">
      <c r="B108" s="697" t="s">
        <v>74</v>
      </c>
      <c r="C108" s="692">
        <f>C105+C102+C99+C96+C93+C90+C87+C84+C81</f>
        <v>7760</v>
      </c>
      <c r="D108" s="692">
        <f t="shared" ref="D108:F108" si="6">D105+D102+D99+D96+D93+D90+D87+D84+D81</f>
        <v>0</v>
      </c>
      <c r="E108" s="692">
        <f t="shared" si="6"/>
        <v>0</v>
      </c>
      <c r="F108" s="692">
        <f t="shared" si="6"/>
        <v>0</v>
      </c>
    </row>
    <row r="109" spans="2:6" x14ac:dyDescent="0.25">
      <c r="B109" s="1576" t="s">
        <v>120</v>
      </c>
      <c r="C109" s="1580"/>
      <c r="D109" s="1580"/>
      <c r="E109" s="1580"/>
      <c r="F109" s="1581"/>
    </row>
    <row r="110" spans="2:6" x14ac:dyDescent="0.25">
      <c r="B110" s="1577"/>
      <c r="C110" s="1583"/>
      <c r="D110" s="1583"/>
      <c r="E110" s="1583"/>
      <c r="F110" s="1584"/>
    </row>
    <row r="111" spans="2:6" ht="15.75" thickBot="1" x14ac:dyDescent="0.3">
      <c r="B111" s="1578"/>
      <c r="C111" s="1586"/>
      <c r="D111" s="1586"/>
      <c r="E111" s="1586"/>
      <c r="F111" s="1587"/>
    </row>
    <row r="112" spans="2:6" ht="15.75" thickBot="1" x14ac:dyDescent="0.3">
      <c r="B112" s="682" t="s">
        <v>41</v>
      </c>
      <c r="C112" s="696">
        <f>IF(C108-C73=0,0,"Error")</f>
        <v>0</v>
      </c>
      <c r="D112" s="696">
        <f t="shared" ref="D112:F112" si="7">IF(D108-D73=0,0,"Error")</f>
        <v>0</v>
      </c>
      <c r="E112" s="696">
        <f t="shared" si="7"/>
        <v>0</v>
      </c>
      <c r="F112" s="696">
        <f t="shared" si="7"/>
        <v>0</v>
      </c>
    </row>
    <row r="113" spans="2:6" ht="15.75" thickBot="1" x14ac:dyDescent="0.3">
      <c r="B113" s="683" t="s">
        <v>44</v>
      </c>
      <c r="C113" s="1553" t="s">
        <v>1175</v>
      </c>
      <c r="D113" s="1554"/>
      <c r="E113" s="1554"/>
      <c r="F113" s="1555"/>
    </row>
    <row r="114" spans="2:6" ht="48" customHeight="1" thickBot="1" x14ac:dyDescent="0.3">
      <c r="B114" s="668" t="s">
        <v>17</v>
      </c>
      <c r="C114" s="1571" t="s">
        <v>1176</v>
      </c>
      <c r="D114" s="1574"/>
      <c r="E114" s="1574"/>
      <c r="F114" s="1575"/>
    </row>
    <row r="115" spans="2:6" ht="15.75" thickBot="1" x14ac:dyDescent="0.3">
      <c r="B115" s="668" t="s">
        <v>18</v>
      </c>
      <c r="C115" s="1553" t="s">
        <v>1177</v>
      </c>
      <c r="D115" s="1554"/>
      <c r="E115" s="1554"/>
      <c r="F115" s="1555"/>
    </row>
    <row r="116" spans="2:6" x14ac:dyDescent="0.25">
      <c r="B116" s="1567"/>
      <c r="C116" s="684">
        <v>2018</v>
      </c>
      <c r="D116" s="684">
        <v>2019</v>
      </c>
      <c r="E116" s="684">
        <v>2020</v>
      </c>
      <c r="F116" s="684">
        <v>2021</v>
      </c>
    </row>
    <row r="117" spans="2:6" ht="15.75" thickBot="1" x14ac:dyDescent="0.3">
      <c r="B117" s="1568"/>
      <c r="C117" s="685" t="s">
        <v>10</v>
      </c>
      <c r="D117" s="685" t="s">
        <v>11</v>
      </c>
      <c r="E117" s="685" t="s">
        <v>11</v>
      </c>
      <c r="F117" s="685" t="s">
        <v>11</v>
      </c>
    </row>
    <row r="118" spans="2:6" ht="15.75" thickBot="1" x14ac:dyDescent="0.3">
      <c r="B118" s="668" t="s">
        <v>19</v>
      </c>
      <c r="C118" s="686">
        <v>0</v>
      </c>
      <c r="D118" s="690">
        <v>1</v>
      </c>
      <c r="E118" s="690">
        <v>1</v>
      </c>
      <c r="F118" s="690">
        <v>1</v>
      </c>
    </row>
    <row r="119" spans="2:6" ht="15.75" thickBot="1" x14ac:dyDescent="0.3">
      <c r="B119" s="668" t="s">
        <v>20</v>
      </c>
      <c r="C119" s="686"/>
      <c r="D119" s="686">
        <f>D156</f>
        <v>7810</v>
      </c>
      <c r="E119" s="686">
        <f t="shared" ref="E119:F119" si="8">E156</f>
        <v>7890</v>
      </c>
      <c r="F119" s="686">
        <f t="shared" si="8"/>
        <v>8010</v>
      </c>
    </row>
    <row r="120" spans="2:6" ht="15.75" thickBot="1" x14ac:dyDescent="0.3">
      <c r="B120" s="668" t="s">
        <v>21</v>
      </c>
      <c r="C120" s="686" t="e">
        <f>C119/C118</f>
        <v>#DIV/0!</v>
      </c>
      <c r="D120" s="686">
        <f t="shared" ref="D120:F120" si="9">D119/D118</f>
        <v>7810</v>
      </c>
      <c r="E120" s="686">
        <f t="shared" si="9"/>
        <v>7890</v>
      </c>
      <c r="F120" s="686">
        <f t="shared" si="9"/>
        <v>8010</v>
      </c>
    </row>
    <row r="121" spans="2:6" ht="15.75" thickBot="1" x14ac:dyDescent="0.3">
      <c r="B121" s="668" t="s">
        <v>22</v>
      </c>
      <c r="C121" s="687"/>
      <c r="D121" s="688" t="e">
        <f>D118/C118-1</f>
        <v>#DIV/0!</v>
      </c>
      <c r="E121" s="688">
        <f t="shared" ref="E121:F123" si="10">E118/D118-1</f>
        <v>0</v>
      </c>
      <c r="F121" s="688">
        <f t="shared" si="10"/>
        <v>0</v>
      </c>
    </row>
    <row r="122" spans="2:6" ht="15.75" thickBot="1" x14ac:dyDescent="0.3">
      <c r="B122" s="668" t="s">
        <v>24</v>
      </c>
      <c r="C122" s="687"/>
      <c r="D122" s="688" t="e">
        <f>D119/C119-1</f>
        <v>#DIV/0!</v>
      </c>
      <c r="E122" s="688">
        <f t="shared" si="10"/>
        <v>1.0243277848911658E-2</v>
      </c>
      <c r="F122" s="688">
        <f t="shared" si="10"/>
        <v>1.5209125475285079E-2</v>
      </c>
    </row>
    <row r="123" spans="2:6" ht="15.75" thickBot="1" x14ac:dyDescent="0.3">
      <c r="B123" s="668" t="s">
        <v>25</v>
      </c>
      <c r="C123" s="687"/>
      <c r="D123" s="688" t="e">
        <f>D120/C120-1</f>
        <v>#DIV/0!</v>
      </c>
      <c r="E123" s="688">
        <f t="shared" si="10"/>
        <v>1.0243277848911658E-2</v>
      </c>
      <c r="F123" s="688">
        <f t="shared" si="10"/>
        <v>1.5209125475285079E-2</v>
      </c>
    </row>
    <row r="124" spans="2:6" x14ac:dyDescent="0.25">
      <c r="B124" s="1567"/>
      <c r="C124" s="684">
        <v>2018</v>
      </c>
      <c r="D124" s="684">
        <v>2019</v>
      </c>
      <c r="E124" s="684">
        <v>2020</v>
      </c>
      <c r="F124" s="684">
        <v>2021</v>
      </c>
    </row>
    <row r="125" spans="2:6" ht="15.75" thickBot="1" x14ac:dyDescent="0.3">
      <c r="B125" s="1568"/>
      <c r="C125" s="685" t="s">
        <v>10</v>
      </c>
      <c r="D125" s="685" t="s">
        <v>11</v>
      </c>
      <c r="E125" s="685" t="s">
        <v>11</v>
      </c>
      <c r="F125" s="685" t="s">
        <v>11</v>
      </c>
    </row>
    <row r="126" spans="2:6" ht="15.75" thickBot="1" x14ac:dyDescent="0.3">
      <c r="B126" s="1569" t="s">
        <v>982</v>
      </c>
      <c r="C126" s="1460"/>
      <c r="D126" s="1460"/>
      <c r="E126" s="1460"/>
      <c r="F126" s="1570"/>
    </row>
    <row r="127" spans="2:6" x14ac:dyDescent="0.25">
      <c r="B127" s="1567"/>
      <c r="C127" s="684">
        <v>2018</v>
      </c>
      <c r="D127" s="684">
        <v>2019</v>
      </c>
      <c r="E127" s="684">
        <v>2020</v>
      </c>
      <c r="F127" s="684">
        <v>2021</v>
      </c>
    </row>
    <row r="128" spans="2:6" ht="15.75" thickBot="1" x14ac:dyDescent="0.3">
      <c r="B128" s="1568"/>
      <c r="C128" s="685" t="s">
        <v>10</v>
      </c>
      <c r="D128" s="685" t="s">
        <v>11</v>
      </c>
      <c r="E128" s="685" t="s">
        <v>11</v>
      </c>
      <c r="F128" s="685" t="s">
        <v>11</v>
      </c>
    </row>
    <row r="129" spans="2:6" ht="15.75" thickBot="1" x14ac:dyDescent="0.3">
      <c r="B129" s="689" t="s">
        <v>26</v>
      </c>
      <c r="C129" s="690">
        <v>0</v>
      </c>
      <c r="D129" s="690">
        <v>4320</v>
      </c>
      <c r="E129" s="690">
        <v>4320</v>
      </c>
      <c r="F129" s="690">
        <v>4320</v>
      </c>
    </row>
    <row r="130" spans="2:6" ht="30.75" thickBot="1" x14ac:dyDescent="0.3">
      <c r="B130" s="691" t="s">
        <v>27</v>
      </c>
      <c r="C130" s="692"/>
      <c r="D130" s="694"/>
      <c r="E130" s="694"/>
      <c r="F130" s="694"/>
    </row>
    <row r="131" spans="2:6" ht="30.75" thickBot="1" x14ac:dyDescent="0.3">
      <c r="B131" s="691" t="s">
        <v>45</v>
      </c>
      <c r="C131" s="692"/>
      <c r="D131" s="694"/>
      <c r="E131" s="694"/>
      <c r="F131" s="694"/>
    </row>
    <row r="132" spans="2:6" ht="15.75" thickBot="1" x14ac:dyDescent="0.3">
      <c r="B132" s="689" t="s">
        <v>28</v>
      </c>
      <c r="C132" s="690"/>
      <c r="D132" s="690">
        <v>695</v>
      </c>
      <c r="E132" s="690">
        <v>710</v>
      </c>
      <c r="F132" s="690">
        <v>710</v>
      </c>
    </row>
    <row r="133" spans="2:6" ht="30.75" thickBot="1" x14ac:dyDescent="0.3">
      <c r="B133" s="691" t="s">
        <v>29</v>
      </c>
      <c r="C133" s="692"/>
      <c r="D133" s="690"/>
      <c r="E133" s="690"/>
      <c r="F133" s="690"/>
    </row>
    <row r="134" spans="2:6" ht="30.75" thickBot="1" x14ac:dyDescent="0.3">
      <c r="B134" s="691" t="s">
        <v>46</v>
      </c>
      <c r="C134" s="692"/>
      <c r="D134" s="690"/>
      <c r="E134" s="690"/>
      <c r="F134" s="690"/>
    </row>
    <row r="135" spans="2:6" ht="15.75" thickBot="1" x14ac:dyDescent="0.3">
      <c r="B135" s="689" t="s">
        <v>30</v>
      </c>
      <c r="C135" s="692"/>
      <c r="D135" s="690">
        <v>2795</v>
      </c>
      <c r="E135" s="690">
        <v>2860</v>
      </c>
      <c r="F135" s="690">
        <v>2980</v>
      </c>
    </row>
    <row r="136" spans="2:6" ht="30.75" thickBot="1" x14ac:dyDescent="0.3">
      <c r="B136" s="691" t="s">
        <v>31</v>
      </c>
      <c r="C136" s="692"/>
      <c r="D136" s="690"/>
      <c r="E136" s="690"/>
      <c r="F136" s="690"/>
    </row>
    <row r="137" spans="2:6" ht="30.75" thickBot="1" x14ac:dyDescent="0.3">
      <c r="B137" s="691" t="s">
        <v>47</v>
      </c>
      <c r="C137" s="692"/>
      <c r="D137" s="690"/>
      <c r="E137" s="690"/>
      <c r="F137" s="690"/>
    </row>
    <row r="138" spans="2:6" ht="15.75" thickBot="1" x14ac:dyDescent="0.3">
      <c r="B138" s="689" t="s">
        <v>32</v>
      </c>
      <c r="C138" s="692"/>
      <c r="D138" s="690"/>
      <c r="E138" s="690"/>
      <c r="F138" s="690"/>
    </row>
    <row r="139" spans="2:6" ht="30.75" thickBot="1" x14ac:dyDescent="0.3">
      <c r="B139" s="691" t="s">
        <v>33</v>
      </c>
      <c r="C139" s="692"/>
      <c r="D139" s="690"/>
      <c r="E139" s="690"/>
      <c r="F139" s="690"/>
    </row>
    <row r="140" spans="2:6" ht="30.75" thickBot="1" x14ac:dyDescent="0.3">
      <c r="B140" s="691" t="s">
        <v>48</v>
      </c>
      <c r="C140" s="692"/>
      <c r="D140" s="690"/>
      <c r="E140" s="690"/>
      <c r="F140" s="690"/>
    </row>
    <row r="141" spans="2:6" ht="15.75" thickBot="1" x14ac:dyDescent="0.3">
      <c r="B141" s="689" t="s">
        <v>34</v>
      </c>
      <c r="C141" s="692"/>
      <c r="D141" s="690"/>
      <c r="E141" s="690"/>
      <c r="F141" s="690"/>
    </row>
    <row r="142" spans="2:6" ht="30.75" thickBot="1" x14ac:dyDescent="0.3">
      <c r="B142" s="691" t="s">
        <v>35</v>
      </c>
      <c r="C142" s="692"/>
      <c r="D142" s="690"/>
      <c r="E142" s="690"/>
      <c r="F142" s="690"/>
    </row>
    <row r="143" spans="2:6" ht="30.75" thickBot="1" x14ac:dyDescent="0.3">
      <c r="B143" s="691" t="s">
        <v>49</v>
      </c>
      <c r="C143" s="692"/>
      <c r="D143" s="690"/>
      <c r="E143" s="690"/>
      <c r="F143" s="690"/>
    </row>
    <row r="144" spans="2:6" ht="15.75" thickBot="1" x14ac:dyDescent="0.3">
      <c r="B144" s="689" t="s">
        <v>36</v>
      </c>
      <c r="C144" s="692"/>
      <c r="D144" s="690"/>
      <c r="E144" s="690"/>
      <c r="F144" s="690"/>
    </row>
    <row r="145" spans="2:6" ht="30.75" thickBot="1" x14ac:dyDescent="0.3">
      <c r="B145" s="691" t="s">
        <v>37</v>
      </c>
      <c r="C145" s="692"/>
      <c r="D145" s="690"/>
      <c r="E145" s="690"/>
      <c r="F145" s="690"/>
    </row>
    <row r="146" spans="2:6" ht="30.75" thickBot="1" x14ac:dyDescent="0.3">
      <c r="B146" s="691" t="s">
        <v>50</v>
      </c>
      <c r="C146" s="692"/>
      <c r="D146" s="690"/>
      <c r="E146" s="690"/>
      <c r="F146" s="690"/>
    </row>
    <row r="147" spans="2:6" ht="15.75" thickBot="1" x14ac:dyDescent="0.3">
      <c r="B147" s="689" t="s">
        <v>38</v>
      </c>
      <c r="C147" s="692"/>
      <c r="D147" s="690"/>
      <c r="E147" s="690"/>
      <c r="F147" s="690"/>
    </row>
    <row r="148" spans="2:6" ht="30.75" thickBot="1" x14ac:dyDescent="0.3">
      <c r="B148" s="691" t="s">
        <v>39</v>
      </c>
      <c r="C148" s="692"/>
      <c r="D148" s="690"/>
      <c r="E148" s="690"/>
      <c r="F148" s="690"/>
    </row>
    <row r="149" spans="2:6" ht="30.75" thickBot="1" x14ac:dyDescent="0.3">
      <c r="B149" s="691" t="s">
        <v>51</v>
      </c>
      <c r="C149" s="692"/>
      <c r="D149" s="690"/>
      <c r="E149" s="690"/>
      <c r="F149" s="690"/>
    </row>
    <row r="150" spans="2:6" ht="15.75" thickBot="1" x14ac:dyDescent="0.3">
      <c r="B150" s="689" t="s">
        <v>92</v>
      </c>
      <c r="C150" s="692"/>
      <c r="D150" s="690"/>
      <c r="E150" s="690"/>
      <c r="F150" s="690"/>
    </row>
    <row r="151" spans="2:6" ht="30.75" thickBot="1" x14ac:dyDescent="0.3">
      <c r="B151" s="691" t="s">
        <v>1166</v>
      </c>
      <c r="C151" s="692"/>
      <c r="D151" s="690"/>
      <c r="E151" s="690"/>
      <c r="F151" s="690"/>
    </row>
    <row r="152" spans="2:6" ht="30.75" thickBot="1" x14ac:dyDescent="0.3">
      <c r="B152" s="691" t="s">
        <v>1167</v>
      </c>
      <c r="C152" s="692"/>
      <c r="D152" s="690"/>
      <c r="E152" s="690"/>
      <c r="F152" s="690"/>
    </row>
    <row r="153" spans="2:6" ht="15.75" thickBot="1" x14ac:dyDescent="0.3">
      <c r="B153" s="689" t="s">
        <v>94</v>
      </c>
      <c r="C153" s="692"/>
      <c r="D153" s="690"/>
      <c r="E153" s="690"/>
      <c r="F153" s="690"/>
    </row>
    <row r="154" spans="2:6" ht="30.75" thickBot="1" x14ac:dyDescent="0.3">
      <c r="B154" s="691" t="s">
        <v>1168</v>
      </c>
      <c r="C154" s="692"/>
      <c r="D154" s="690"/>
      <c r="E154" s="690"/>
      <c r="F154" s="690"/>
    </row>
    <row r="155" spans="2:6" ht="30.75" thickBot="1" x14ac:dyDescent="0.3">
      <c r="B155" s="691" t="s">
        <v>1169</v>
      </c>
      <c r="C155" s="692"/>
      <c r="D155" s="690"/>
      <c r="E155" s="690"/>
      <c r="F155" s="690"/>
    </row>
    <row r="156" spans="2:6" ht="15.75" thickBot="1" x14ac:dyDescent="0.3">
      <c r="B156" s="697" t="s">
        <v>71</v>
      </c>
      <c r="C156" s="698">
        <f>C153+C150+C147+C144+C141+C138+C135+C132+C129</f>
        <v>0</v>
      </c>
      <c r="D156" s="698">
        <f t="shared" ref="D156:F156" si="11">D153+D150+D147+D144+D141+D138+D135+D132+D129</f>
        <v>7810</v>
      </c>
      <c r="E156" s="698">
        <f t="shared" si="11"/>
        <v>7890</v>
      </c>
      <c r="F156" s="698">
        <f t="shared" si="11"/>
        <v>8010</v>
      </c>
    </row>
    <row r="157" spans="2:6" x14ac:dyDescent="0.25">
      <c r="B157" s="1588" t="s">
        <v>119</v>
      </c>
      <c r="C157" s="1591" t="s">
        <v>23</v>
      </c>
      <c r="D157" s="1591"/>
      <c r="E157" s="1591"/>
      <c r="F157" s="1592"/>
    </row>
    <row r="158" spans="2:6" x14ac:dyDescent="0.25">
      <c r="B158" s="1589"/>
      <c r="C158" s="1583"/>
      <c r="D158" s="1583"/>
      <c r="E158" s="1583"/>
      <c r="F158" s="1593"/>
    </row>
    <row r="159" spans="2:6" ht="15.75" thickBot="1" x14ac:dyDescent="0.3">
      <c r="B159" s="1590"/>
      <c r="C159" s="1594"/>
      <c r="D159" s="1594"/>
      <c r="E159" s="1594"/>
      <c r="F159" s="1595"/>
    </row>
    <row r="160" spans="2:6" ht="15.75" thickBot="1" x14ac:dyDescent="0.3">
      <c r="B160" s="682" t="s">
        <v>41</v>
      </c>
      <c r="C160" s="696">
        <f>IF(C156-C119=0,0,"Error")</f>
        <v>0</v>
      </c>
      <c r="D160" s="696">
        <f t="shared" ref="D160:F160" si="12">IF(D156-D119=0,0,"Error")</f>
        <v>0</v>
      </c>
      <c r="E160" s="696">
        <f t="shared" si="12"/>
        <v>0</v>
      </c>
      <c r="F160" s="696">
        <f t="shared" si="12"/>
        <v>0</v>
      </c>
    </row>
    <row r="161" spans="2:6" ht="15.75" thickBot="1" x14ac:dyDescent="0.3">
      <c r="B161" s="680" t="s">
        <v>61</v>
      </c>
      <c r="C161" s="1596" t="s">
        <v>130</v>
      </c>
      <c r="D161" s="1597"/>
      <c r="E161" s="1597"/>
      <c r="F161" s="1598"/>
    </row>
    <row r="162" spans="2:6" ht="15.75" thickBot="1" x14ac:dyDescent="0.3">
      <c r="B162" s="680" t="s">
        <v>1181</v>
      </c>
      <c r="C162" s="1553" t="s">
        <v>106</v>
      </c>
      <c r="D162" s="1554"/>
      <c r="E162" s="1554"/>
      <c r="F162" s="1555"/>
    </row>
    <row r="163" spans="2:6" ht="15.75" thickBot="1" x14ac:dyDescent="0.3">
      <c r="B163" s="668" t="s">
        <v>17</v>
      </c>
      <c r="C163" s="1564" t="s">
        <v>106</v>
      </c>
      <c r="D163" s="1565"/>
      <c r="E163" s="1565"/>
      <c r="F163" s="1566"/>
    </row>
    <row r="164" spans="2:6" ht="15.75" thickBot="1" x14ac:dyDescent="0.3">
      <c r="B164" s="668" t="s">
        <v>18</v>
      </c>
      <c r="C164" s="1553" t="s">
        <v>106</v>
      </c>
      <c r="D164" s="1554"/>
      <c r="E164" s="1554"/>
      <c r="F164" s="1555"/>
    </row>
    <row r="165" spans="2:6" x14ac:dyDescent="0.25">
      <c r="B165" s="1567"/>
      <c r="C165" s="684">
        <v>2018</v>
      </c>
      <c r="D165" s="684">
        <v>2019</v>
      </c>
      <c r="E165" s="684">
        <v>2020</v>
      </c>
      <c r="F165" s="684">
        <v>2021</v>
      </c>
    </row>
    <row r="166" spans="2:6" ht="15.75" thickBot="1" x14ac:dyDescent="0.3">
      <c r="B166" s="1568"/>
      <c r="C166" s="685" t="s">
        <v>10</v>
      </c>
      <c r="D166" s="685" t="s">
        <v>11</v>
      </c>
      <c r="E166" s="685" t="s">
        <v>11</v>
      </c>
      <c r="F166" s="685" t="s">
        <v>11</v>
      </c>
    </row>
    <row r="167" spans="2:6" ht="15.75" thickBot="1" x14ac:dyDescent="0.3">
      <c r="B167" s="668" t="s">
        <v>19</v>
      </c>
      <c r="C167" s="686"/>
      <c r="D167" s="686"/>
      <c r="E167" s="686"/>
      <c r="F167" s="686"/>
    </row>
    <row r="168" spans="2:6" ht="15.75" thickBot="1" x14ac:dyDescent="0.3">
      <c r="B168" s="668" t="s">
        <v>20</v>
      </c>
      <c r="C168" s="686"/>
      <c r="D168" s="686"/>
      <c r="E168" s="686"/>
      <c r="F168" s="686"/>
    </row>
    <row r="169" spans="2:6" ht="15.75" thickBot="1" x14ac:dyDescent="0.3">
      <c r="B169" s="668" t="s">
        <v>21</v>
      </c>
      <c r="C169" s="686" t="e">
        <f>C168/C167</f>
        <v>#DIV/0!</v>
      </c>
      <c r="D169" s="686" t="e">
        <f t="shared" ref="D169:F169" si="13">D168/D167</f>
        <v>#DIV/0!</v>
      </c>
      <c r="E169" s="686" t="e">
        <f t="shared" si="13"/>
        <v>#DIV/0!</v>
      </c>
      <c r="F169" s="686" t="e">
        <f t="shared" si="13"/>
        <v>#DIV/0!</v>
      </c>
    </row>
    <row r="170" spans="2:6" ht="15.75" thickBot="1" x14ac:dyDescent="0.3">
      <c r="B170" s="668" t="s">
        <v>22</v>
      </c>
      <c r="C170" s="687"/>
      <c r="D170" s="688" t="e">
        <f>D167/C167-1</f>
        <v>#DIV/0!</v>
      </c>
      <c r="E170" s="688" t="e">
        <f t="shared" ref="E170:F172" si="14">E167/D167-1</f>
        <v>#DIV/0!</v>
      </c>
      <c r="F170" s="688" t="e">
        <f t="shared" si="14"/>
        <v>#DIV/0!</v>
      </c>
    </row>
    <row r="171" spans="2:6" ht="15.75" thickBot="1" x14ac:dyDescent="0.3">
      <c r="B171" s="668" t="s">
        <v>24</v>
      </c>
      <c r="C171" s="687"/>
      <c r="D171" s="688" t="e">
        <f>D168/C168-1</f>
        <v>#DIV/0!</v>
      </c>
      <c r="E171" s="688" t="e">
        <f t="shared" si="14"/>
        <v>#DIV/0!</v>
      </c>
      <c r="F171" s="688" t="e">
        <f t="shared" si="14"/>
        <v>#DIV/0!</v>
      </c>
    </row>
    <row r="172" spans="2:6" ht="15.75" thickBot="1" x14ac:dyDescent="0.3">
      <c r="B172" s="668" t="s">
        <v>25</v>
      </c>
      <c r="C172" s="687"/>
      <c r="D172" s="688" t="e">
        <f>D169/C169-1</f>
        <v>#DIV/0!</v>
      </c>
      <c r="E172" s="688" t="e">
        <f t="shared" si="14"/>
        <v>#DIV/0!</v>
      </c>
      <c r="F172" s="688" t="e">
        <f t="shared" si="14"/>
        <v>#DIV/0!</v>
      </c>
    </row>
    <row r="173" spans="2:6" ht="15.75" thickBot="1" x14ac:dyDescent="0.3">
      <c r="B173" s="1569" t="s">
        <v>1178</v>
      </c>
      <c r="C173" s="1460"/>
      <c r="D173" s="1460"/>
      <c r="E173" s="1460"/>
      <c r="F173" s="1570"/>
    </row>
    <row r="174" spans="2:6" x14ac:dyDescent="0.25">
      <c r="B174" s="1567"/>
      <c r="C174" s="684">
        <v>2018</v>
      </c>
      <c r="D174" s="684">
        <v>2019</v>
      </c>
      <c r="E174" s="684">
        <v>2020</v>
      </c>
      <c r="F174" s="684">
        <v>2021</v>
      </c>
    </row>
    <row r="175" spans="2:6" ht="15.75" thickBot="1" x14ac:dyDescent="0.3">
      <c r="B175" s="1568"/>
      <c r="C175" s="685" t="s">
        <v>10</v>
      </c>
      <c r="D175" s="685" t="s">
        <v>11</v>
      </c>
      <c r="E175" s="685" t="s">
        <v>11</v>
      </c>
      <c r="F175" s="685" t="s">
        <v>11</v>
      </c>
    </row>
    <row r="176" spans="2:6" ht="15.75" thickBot="1" x14ac:dyDescent="0.3">
      <c r="B176" s="689" t="s">
        <v>26</v>
      </c>
      <c r="C176" s="690"/>
      <c r="D176" s="690"/>
      <c r="E176" s="690"/>
      <c r="F176" s="690"/>
    </row>
    <row r="177" spans="2:6" ht="30.75" thickBot="1" x14ac:dyDescent="0.3">
      <c r="B177" s="691" t="s">
        <v>27</v>
      </c>
      <c r="C177" s="692"/>
      <c r="D177" s="694"/>
      <c r="E177" s="694"/>
      <c r="F177" s="694"/>
    </row>
    <row r="178" spans="2:6" ht="30.75" thickBot="1" x14ac:dyDescent="0.3">
      <c r="B178" s="691" t="s">
        <v>45</v>
      </c>
      <c r="C178" s="692"/>
      <c r="D178" s="694"/>
      <c r="E178" s="694"/>
      <c r="F178" s="694"/>
    </row>
    <row r="179" spans="2:6" ht="15.75" thickBot="1" x14ac:dyDescent="0.3">
      <c r="B179" s="689" t="s">
        <v>28</v>
      </c>
      <c r="C179" s="690"/>
      <c r="D179" s="690"/>
      <c r="E179" s="690"/>
      <c r="F179" s="690"/>
    </row>
    <row r="180" spans="2:6" ht="30.75" thickBot="1" x14ac:dyDescent="0.3">
      <c r="B180" s="691" t="s">
        <v>29</v>
      </c>
      <c r="C180" s="692"/>
      <c r="D180" s="690"/>
      <c r="E180" s="690"/>
      <c r="F180" s="690"/>
    </row>
    <row r="181" spans="2:6" ht="30.75" thickBot="1" x14ac:dyDescent="0.3">
      <c r="B181" s="691" t="s">
        <v>46</v>
      </c>
      <c r="C181" s="692"/>
      <c r="D181" s="690"/>
      <c r="E181" s="690"/>
      <c r="F181" s="690"/>
    </row>
    <row r="182" spans="2:6" ht="15.75" thickBot="1" x14ac:dyDescent="0.3">
      <c r="B182" s="689" t="s">
        <v>30</v>
      </c>
      <c r="C182" s="692"/>
      <c r="D182" s="690"/>
      <c r="E182" s="690"/>
      <c r="F182" s="690"/>
    </row>
    <row r="183" spans="2:6" ht="30.75" thickBot="1" x14ac:dyDescent="0.3">
      <c r="B183" s="691" t="s">
        <v>31</v>
      </c>
      <c r="C183" s="692"/>
      <c r="D183" s="690"/>
      <c r="E183" s="690"/>
      <c r="F183" s="690"/>
    </row>
    <row r="184" spans="2:6" ht="30.75" thickBot="1" x14ac:dyDescent="0.3">
      <c r="B184" s="691" t="s">
        <v>47</v>
      </c>
      <c r="C184" s="692"/>
      <c r="D184" s="690"/>
      <c r="E184" s="690"/>
      <c r="F184" s="690"/>
    </row>
    <row r="185" spans="2:6" ht="15.75" thickBot="1" x14ac:dyDescent="0.3">
      <c r="B185" s="689" t="s">
        <v>32</v>
      </c>
      <c r="C185" s="692"/>
      <c r="D185" s="690"/>
      <c r="E185" s="690"/>
      <c r="F185" s="690"/>
    </row>
    <row r="186" spans="2:6" ht="30.75" thickBot="1" x14ac:dyDescent="0.3">
      <c r="B186" s="691" t="s">
        <v>33</v>
      </c>
      <c r="C186" s="692"/>
      <c r="D186" s="690"/>
      <c r="E186" s="690"/>
      <c r="F186" s="690"/>
    </row>
    <row r="187" spans="2:6" ht="30.75" thickBot="1" x14ac:dyDescent="0.3">
      <c r="B187" s="691" t="s">
        <v>48</v>
      </c>
      <c r="C187" s="692"/>
      <c r="D187" s="690"/>
      <c r="E187" s="690"/>
      <c r="F187" s="690"/>
    </row>
    <row r="188" spans="2:6" ht="15.75" thickBot="1" x14ac:dyDescent="0.3">
      <c r="B188" s="689" t="s">
        <v>34</v>
      </c>
      <c r="C188" s="692"/>
      <c r="D188" s="690"/>
      <c r="E188" s="690"/>
      <c r="F188" s="690"/>
    </row>
    <row r="189" spans="2:6" ht="30.75" thickBot="1" x14ac:dyDescent="0.3">
      <c r="B189" s="691" t="s">
        <v>35</v>
      </c>
      <c r="C189" s="692"/>
      <c r="D189" s="690"/>
      <c r="E189" s="690"/>
      <c r="F189" s="690"/>
    </row>
    <row r="190" spans="2:6" ht="30.75" thickBot="1" x14ac:dyDescent="0.3">
      <c r="B190" s="691" t="s">
        <v>49</v>
      </c>
      <c r="C190" s="692"/>
      <c r="D190" s="690"/>
      <c r="E190" s="690"/>
      <c r="F190" s="690"/>
    </row>
    <row r="191" spans="2:6" ht="15.75" thickBot="1" x14ac:dyDescent="0.3">
      <c r="B191" s="689" t="s">
        <v>36</v>
      </c>
      <c r="C191" s="692"/>
      <c r="D191" s="690"/>
      <c r="E191" s="690"/>
      <c r="F191" s="690"/>
    </row>
    <row r="192" spans="2:6" ht="30.75" thickBot="1" x14ac:dyDescent="0.3">
      <c r="B192" s="691" t="s">
        <v>37</v>
      </c>
      <c r="C192" s="692"/>
      <c r="D192" s="690"/>
      <c r="E192" s="690"/>
      <c r="F192" s="690"/>
    </row>
    <row r="193" spans="2:6" ht="30.75" thickBot="1" x14ac:dyDescent="0.3">
      <c r="B193" s="691" t="s">
        <v>50</v>
      </c>
      <c r="C193" s="692"/>
      <c r="D193" s="690"/>
      <c r="E193" s="690"/>
      <c r="F193" s="690"/>
    </row>
    <row r="194" spans="2:6" ht="15.75" thickBot="1" x14ac:dyDescent="0.3">
      <c r="B194" s="689" t="s">
        <v>38</v>
      </c>
      <c r="C194" s="692"/>
      <c r="D194" s="690"/>
      <c r="E194" s="690"/>
      <c r="F194" s="690"/>
    </row>
    <row r="195" spans="2:6" ht="30.75" thickBot="1" x14ac:dyDescent="0.3">
      <c r="B195" s="691" t="s">
        <v>39</v>
      </c>
      <c r="C195" s="692"/>
      <c r="D195" s="690"/>
      <c r="E195" s="690"/>
      <c r="F195" s="690"/>
    </row>
    <row r="196" spans="2:6" ht="30.75" thickBot="1" x14ac:dyDescent="0.3">
      <c r="B196" s="691" t="s">
        <v>51</v>
      </c>
      <c r="C196" s="692"/>
      <c r="D196" s="690"/>
      <c r="E196" s="690"/>
      <c r="F196" s="690"/>
    </row>
    <row r="197" spans="2:6" ht="15.75" thickBot="1" x14ac:dyDescent="0.3">
      <c r="B197" s="689" t="s">
        <v>92</v>
      </c>
      <c r="C197" s="692"/>
      <c r="D197" s="690"/>
      <c r="E197" s="690"/>
      <c r="F197" s="690"/>
    </row>
    <row r="198" spans="2:6" ht="30.75" thickBot="1" x14ac:dyDescent="0.3">
      <c r="B198" s="691" t="s">
        <v>1166</v>
      </c>
      <c r="C198" s="692"/>
      <c r="D198" s="690"/>
      <c r="E198" s="690"/>
      <c r="F198" s="690"/>
    </row>
    <row r="199" spans="2:6" ht="30.75" thickBot="1" x14ac:dyDescent="0.3">
      <c r="B199" s="691" t="s">
        <v>1167</v>
      </c>
      <c r="C199" s="692"/>
      <c r="D199" s="690"/>
      <c r="E199" s="690"/>
      <c r="F199" s="690"/>
    </row>
    <row r="200" spans="2:6" ht="15.75" thickBot="1" x14ac:dyDescent="0.3">
      <c r="B200" s="689" t="s">
        <v>94</v>
      </c>
      <c r="C200" s="692"/>
      <c r="D200" s="690"/>
      <c r="E200" s="690"/>
      <c r="F200" s="690"/>
    </row>
    <row r="201" spans="2:6" ht="30.75" thickBot="1" x14ac:dyDescent="0.3">
      <c r="B201" s="691" t="s">
        <v>1168</v>
      </c>
      <c r="C201" s="692"/>
      <c r="D201" s="690"/>
      <c r="E201" s="690"/>
      <c r="F201" s="690"/>
    </row>
    <row r="202" spans="2:6" ht="30.75" thickBot="1" x14ac:dyDescent="0.3">
      <c r="B202" s="691" t="s">
        <v>1169</v>
      </c>
      <c r="C202" s="692"/>
      <c r="D202" s="690"/>
      <c r="E202" s="690"/>
      <c r="F202" s="690"/>
    </row>
    <row r="203" spans="2:6" ht="15.75" thickBot="1" x14ac:dyDescent="0.3">
      <c r="B203" s="697" t="s">
        <v>71</v>
      </c>
      <c r="C203" s="699">
        <f>C200+C197+C194+C188+C191+C185+C182+C179+C176</f>
        <v>0</v>
      </c>
      <c r="D203" s="699">
        <f t="shared" ref="D203:F203" si="15">D200+D197+D194+D188+D191+D185+D182+D179+D176</f>
        <v>0</v>
      </c>
      <c r="E203" s="699">
        <f t="shared" si="15"/>
        <v>0</v>
      </c>
      <c r="F203" s="699">
        <f t="shared" si="15"/>
        <v>0</v>
      </c>
    </row>
    <row r="204" spans="2:6" x14ac:dyDescent="0.25">
      <c r="B204" s="1576" t="s">
        <v>120</v>
      </c>
      <c r="C204" s="1580"/>
      <c r="D204" s="1580"/>
      <c r="E204" s="1580"/>
      <c r="F204" s="1581"/>
    </row>
    <row r="205" spans="2:6" x14ac:dyDescent="0.25">
      <c r="B205" s="1577"/>
      <c r="C205" s="1583"/>
      <c r="D205" s="1583"/>
      <c r="E205" s="1583"/>
      <c r="F205" s="1584"/>
    </row>
    <row r="206" spans="2:6" ht="15.75" thickBot="1" x14ac:dyDescent="0.3">
      <c r="B206" s="1578"/>
      <c r="C206" s="1586"/>
      <c r="D206" s="1586"/>
      <c r="E206" s="1586"/>
      <c r="F206" s="1587"/>
    </row>
    <row r="207" spans="2:6" ht="15.75" thickBot="1" x14ac:dyDescent="0.3">
      <c r="B207" s="682" t="s">
        <v>41</v>
      </c>
      <c r="C207" s="700">
        <f>IF(C203-C168=0,0,"Error")</f>
        <v>0</v>
      </c>
      <c r="D207" s="701">
        <f t="shared" ref="D207:F207" si="16">IF(D203-D168=0,0,"Error")</f>
        <v>0</v>
      </c>
      <c r="E207" s="701">
        <f t="shared" si="16"/>
        <v>0</v>
      </c>
      <c r="F207" s="701">
        <f t="shared" si="16"/>
        <v>0</v>
      </c>
    </row>
    <row r="208" spans="2:6" ht="15.75" thickBot="1" x14ac:dyDescent="0.3">
      <c r="B208" s="682"/>
      <c r="C208" s="696"/>
      <c r="D208" s="696"/>
      <c r="E208" s="696"/>
      <c r="F208" s="696"/>
    </row>
    <row r="209" spans="2:6" ht="30.75" thickBot="1" x14ac:dyDescent="0.3">
      <c r="B209" s="682" t="s">
        <v>1179</v>
      </c>
      <c r="C209" s="696">
        <f>C168+C119+C73+C27</f>
        <v>128400</v>
      </c>
      <c r="D209" s="696">
        <f>D168+D119+D73+D27</f>
        <v>128400</v>
      </c>
      <c r="E209" s="696">
        <f>E168+E119+E73+E27</f>
        <v>129000</v>
      </c>
      <c r="F209" s="696">
        <f>F168+F119+F73+F27</f>
        <v>130000</v>
      </c>
    </row>
    <row r="210" spans="2:6" ht="15.75" thickBot="1" x14ac:dyDescent="0.3">
      <c r="B210" s="682" t="s">
        <v>1180</v>
      </c>
      <c r="C210" s="696">
        <f>C212+C214+C216+C218+C220+C222+C224+C226+C228</f>
        <v>128400</v>
      </c>
      <c r="D210" s="696">
        <f t="shared" ref="D210:F210" si="17">D212+D214+D216+D218+D220+D222+D224+D226+D228</f>
        <v>128400</v>
      </c>
      <c r="E210" s="696">
        <f t="shared" si="17"/>
        <v>129000</v>
      </c>
      <c r="F210" s="696">
        <f t="shared" si="17"/>
        <v>130000</v>
      </c>
    </row>
    <row r="211" spans="2:6" ht="30.75" thickBot="1" x14ac:dyDescent="0.3">
      <c r="B211" s="702" t="s">
        <v>84</v>
      </c>
      <c r="C211" s="699"/>
      <c r="D211" s="703">
        <f>D210/C210-1</f>
        <v>0</v>
      </c>
      <c r="E211" s="703">
        <f t="shared" ref="E211:F211" si="18">E210/D210-1</f>
        <v>4.6728971962617383E-3</v>
      </c>
      <c r="F211" s="703">
        <f t="shared" si="18"/>
        <v>7.7519379844961378E-3</v>
      </c>
    </row>
    <row r="212" spans="2:6" ht="15.75" thickBot="1" x14ac:dyDescent="0.3">
      <c r="B212" s="689" t="s">
        <v>26</v>
      </c>
      <c r="C212" s="690">
        <f>C176+C129+C81+C35</f>
        <v>9800</v>
      </c>
      <c r="D212" s="690">
        <f>D176+D129+D81+D35</f>
        <v>10550</v>
      </c>
      <c r="E212" s="690">
        <f>E176+E129+E81+E35</f>
        <v>10600</v>
      </c>
      <c r="F212" s="690">
        <f>F176+F129+F81+F35</f>
        <v>10600</v>
      </c>
    </row>
    <row r="213" spans="2:6" ht="15.75" thickBot="1" x14ac:dyDescent="0.3">
      <c r="B213" s="691" t="s">
        <v>85</v>
      </c>
      <c r="C213" s="692"/>
      <c r="D213" s="694">
        <f>D212/C212-1</f>
        <v>7.6530612244897878E-2</v>
      </c>
      <c r="E213" s="694">
        <f t="shared" ref="E213:F213" si="19">E212/D212-1</f>
        <v>4.7393364928909332E-3</v>
      </c>
      <c r="F213" s="694">
        <f t="shared" si="19"/>
        <v>0</v>
      </c>
    </row>
    <row r="214" spans="2:6" ht="15.75" thickBot="1" x14ac:dyDescent="0.3">
      <c r="B214" s="689" t="s">
        <v>28</v>
      </c>
      <c r="C214" s="690">
        <f>C179+C132+C84+C38</f>
        <v>1600</v>
      </c>
      <c r="D214" s="690">
        <f>D179+D132+D84+D38</f>
        <v>1705</v>
      </c>
      <c r="E214" s="690">
        <f>E179+E132+E84+E38</f>
        <v>1720</v>
      </c>
      <c r="F214" s="690">
        <f>F179+F132+F84+F38</f>
        <v>1720</v>
      </c>
    </row>
    <row r="215" spans="2:6" ht="15.75" thickBot="1" x14ac:dyDescent="0.3">
      <c r="B215" s="691" t="s">
        <v>86</v>
      </c>
      <c r="C215" s="692"/>
      <c r="D215" s="694">
        <f>D214/C214-1</f>
        <v>6.5625000000000044E-2</v>
      </c>
      <c r="E215" s="694">
        <f t="shared" ref="E215:F215" si="20">E214/D214-1</f>
        <v>8.7976539589442737E-3</v>
      </c>
      <c r="F215" s="694">
        <f t="shared" si="20"/>
        <v>0</v>
      </c>
    </row>
    <row r="216" spans="2:6" ht="15.75" thickBot="1" x14ac:dyDescent="0.3">
      <c r="B216" s="689" t="s">
        <v>30</v>
      </c>
      <c r="C216" s="690">
        <f>C182+C135+C87+C41</f>
        <v>8000</v>
      </c>
      <c r="D216" s="690">
        <f>D182+D135+D87+D41</f>
        <v>7145</v>
      </c>
      <c r="E216" s="690">
        <f>E182+E135+E87+E41</f>
        <v>7360</v>
      </c>
      <c r="F216" s="690">
        <f>F182+F135+F87+F41</f>
        <v>7580</v>
      </c>
    </row>
    <row r="217" spans="2:6" ht="15.75" thickBot="1" x14ac:dyDescent="0.3">
      <c r="B217" s="691" t="s">
        <v>87</v>
      </c>
      <c r="C217" s="692"/>
      <c r="D217" s="694">
        <f>D216/C216-1</f>
        <v>-0.10687500000000005</v>
      </c>
      <c r="E217" s="694">
        <f t="shared" ref="E217:F217" si="21">E216/D216-1</f>
        <v>3.0090972708187502E-2</v>
      </c>
      <c r="F217" s="694">
        <f t="shared" si="21"/>
        <v>2.9891304347826164E-2</v>
      </c>
    </row>
    <row r="218" spans="2:6" ht="15.75" thickBot="1" x14ac:dyDescent="0.3">
      <c r="B218" s="689" t="s">
        <v>32</v>
      </c>
      <c r="C218" s="690">
        <f>C185+C138+C90+C44</f>
        <v>0</v>
      </c>
      <c r="D218" s="690">
        <f>D185+D138+D90+D44</f>
        <v>0</v>
      </c>
      <c r="E218" s="690">
        <f>E185+E138+E90+E44</f>
        <v>0</v>
      </c>
      <c r="F218" s="690">
        <f>F185+F138+F90+F44</f>
        <v>0</v>
      </c>
    </row>
    <row r="219" spans="2:6" ht="15.75" thickBot="1" x14ac:dyDescent="0.3">
      <c r="B219" s="691" t="s">
        <v>88</v>
      </c>
      <c r="C219" s="692"/>
      <c r="D219" s="694" t="e">
        <f>D218/C218-1</f>
        <v>#DIV/0!</v>
      </c>
      <c r="E219" s="694" t="e">
        <f t="shared" ref="E219:F219" si="22">E218/D218-1</f>
        <v>#DIV/0!</v>
      </c>
      <c r="F219" s="694" t="e">
        <f t="shared" si="22"/>
        <v>#DIV/0!</v>
      </c>
    </row>
    <row r="220" spans="2:6" ht="15.75" thickBot="1" x14ac:dyDescent="0.3">
      <c r="B220" s="689" t="s">
        <v>34</v>
      </c>
      <c r="C220" s="690">
        <f>C188+C141+C93+C47</f>
        <v>109000</v>
      </c>
      <c r="D220" s="690">
        <f>D188+D141+D93+D47</f>
        <v>109000</v>
      </c>
      <c r="E220" s="690">
        <f>E188+E141+E93+E47</f>
        <v>109320</v>
      </c>
      <c r="F220" s="690">
        <f>F188+F141+F93+F47</f>
        <v>110100</v>
      </c>
    </row>
    <row r="221" spans="2:6" ht="15.75" thickBot="1" x14ac:dyDescent="0.3">
      <c r="B221" s="691" t="s">
        <v>89</v>
      </c>
      <c r="C221" s="692"/>
      <c r="D221" s="694">
        <f>D220/C220-1</f>
        <v>0</v>
      </c>
      <c r="E221" s="694">
        <f t="shared" ref="E221:F221" si="23">E220/D220-1</f>
        <v>2.9357798165137172E-3</v>
      </c>
      <c r="F221" s="694">
        <f t="shared" si="23"/>
        <v>7.1350164654226944E-3</v>
      </c>
    </row>
    <row r="222" spans="2:6" ht="15.75" thickBot="1" x14ac:dyDescent="0.3">
      <c r="B222" s="689" t="s">
        <v>36</v>
      </c>
      <c r="C222" s="690">
        <f>C191+C144+C96+C50</f>
        <v>0</v>
      </c>
      <c r="D222" s="690">
        <f>D191+D144+D96+D50</f>
        <v>0</v>
      </c>
      <c r="E222" s="690">
        <f>E191+E144+E96+E50</f>
        <v>0</v>
      </c>
      <c r="F222" s="690">
        <f>F191+F144+F96+F50</f>
        <v>0</v>
      </c>
    </row>
    <row r="223" spans="2:6" ht="15.75" thickBot="1" x14ac:dyDescent="0.3">
      <c r="B223" s="691" t="s">
        <v>90</v>
      </c>
      <c r="C223" s="692"/>
      <c r="D223" s="694" t="e">
        <f>D222/C222-1</f>
        <v>#DIV/0!</v>
      </c>
      <c r="E223" s="694" t="e">
        <f t="shared" ref="E223:F223" si="24">E222/D222-1</f>
        <v>#DIV/0!</v>
      </c>
      <c r="F223" s="694" t="e">
        <f t="shared" si="24"/>
        <v>#DIV/0!</v>
      </c>
    </row>
    <row r="224" spans="2:6" ht="15.75" thickBot="1" x14ac:dyDescent="0.3">
      <c r="B224" s="689" t="s">
        <v>38</v>
      </c>
      <c r="C224" s="690">
        <f>C194+C147+C99+C53</f>
        <v>0</v>
      </c>
      <c r="D224" s="690">
        <f>D194+D147+D99+D53</f>
        <v>0</v>
      </c>
      <c r="E224" s="690">
        <f>E194+E147+E99+E53</f>
        <v>0</v>
      </c>
      <c r="F224" s="690">
        <f>F194+F147+F99+F53</f>
        <v>0</v>
      </c>
    </row>
    <row r="225" spans="2:6" ht="15.75" thickBot="1" x14ac:dyDescent="0.3">
      <c r="B225" s="691" t="s">
        <v>91</v>
      </c>
      <c r="C225" s="692"/>
      <c r="D225" s="694" t="e">
        <f>D224/C224-1</f>
        <v>#DIV/0!</v>
      </c>
      <c r="E225" s="694" t="e">
        <f t="shared" ref="E225:F225" si="25">E224/D224-1</f>
        <v>#DIV/0!</v>
      </c>
      <c r="F225" s="694" t="e">
        <f t="shared" si="25"/>
        <v>#DIV/0!</v>
      </c>
    </row>
    <row r="226" spans="2:6" ht="15.75" thickBot="1" x14ac:dyDescent="0.3">
      <c r="B226" s="689" t="s">
        <v>92</v>
      </c>
      <c r="C226" s="690">
        <f>C197+C150+C102+C59</f>
        <v>0</v>
      </c>
      <c r="D226" s="690">
        <f>D197+D150+D102+D59</f>
        <v>0</v>
      </c>
      <c r="E226" s="690">
        <f>E197+E150+E102+E59</f>
        <v>0</v>
      </c>
      <c r="F226" s="690">
        <f>F197+F150+F102+F59</f>
        <v>0</v>
      </c>
    </row>
    <row r="227" spans="2:6" ht="15.75" thickBot="1" x14ac:dyDescent="0.3">
      <c r="B227" s="691" t="s">
        <v>93</v>
      </c>
      <c r="C227" s="692"/>
      <c r="D227" s="694" t="e">
        <f>D226/C226-1</f>
        <v>#DIV/0!</v>
      </c>
      <c r="E227" s="694" t="e">
        <f t="shared" ref="E227:F227" si="26">E226/D226-1</f>
        <v>#DIV/0!</v>
      </c>
      <c r="F227" s="694" t="e">
        <f t="shared" si="26"/>
        <v>#DIV/0!</v>
      </c>
    </row>
    <row r="228" spans="2:6" ht="15.75" thickBot="1" x14ac:dyDescent="0.3">
      <c r="B228" s="689" t="s">
        <v>94</v>
      </c>
      <c r="C228" s="690">
        <f>C200+C153+C105+C59</f>
        <v>0</v>
      </c>
      <c r="D228" s="690">
        <f>D200+D153+D105+D59</f>
        <v>0</v>
      </c>
      <c r="E228" s="690">
        <f>E200+E153+E105+E59</f>
        <v>0</v>
      </c>
      <c r="F228" s="690">
        <f>F200+F153+F105+F59</f>
        <v>0</v>
      </c>
    </row>
    <row r="229" spans="2:6" ht="15.75" thickBot="1" x14ac:dyDescent="0.3">
      <c r="B229" s="691" t="s">
        <v>95</v>
      </c>
      <c r="C229" s="692"/>
      <c r="D229" s="694" t="e">
        <f>D228/C228-1</f>
        <v>#DIV/0!</v>
      </c>
      <c r="E229" s="694" t="e">
        <f t="shared" ref="E229:F229" si="27">E228/D228-1</f>
        <v>#DIV/0!</v>
      </c>
      <c r="F229" s="694" t="e">
        <f t="shared" si="27"/>
        <v>#DIV/0!</v>
      </c>
    </row>
    <row r="230" spans="2:6" x14ac:dyDescent="0.25">
      <c r="B230" s="1576" t="s">
        <v>1182</v>
      </c>
      <c r="C230" s="1580"/>
      <c r="D230" s="1580"/>
      <c r="E230" s="1580"/>
      <c r="F230" s="1581"/>
    </row>
    <row r="231" spans="2:6" x14ac:dyDescent="0.25">
      <c r="B231" s="1577"/>
      <c r="C231" s="1583"/>
      <c r="D231" s="1583"/>
      <c r="E231" s="1583"/>
      <c r="F231" s="1584"/>
    </row>
    <row r="232" spans="2:6" ht="15.75" thickBot="1" x14ac:dyDescent="0.3">
      <c r="B232" s="1578"/>
      <c r="C232" s="1586"/>
      <c r="D232" s="1586"/>
      <c r="E232" s="1586"/>
      <c r="F232" s="1587"/>
    </row>
    <row r="233" spans="2:6" ht="15.75" thickBot="1" x14ac:dyDescent="0.3">
      <c r="B233" s="682" t="s">
        <v>41</v>
      </c>
      <c r="C233" s="696">
        <f>IF(C210-C209=0,0,"Error")</f>
        <v>0</v>
      </c>
      <c r="D233" s="696">
        <f t="shared" ref="D233:F233" si="28">IF(D210-D209=0,0,"Error")</f>
        <v>0</v>
      </c>
      <c r="E233" s="696">
        <f t="shared" si="28"/>
        <v>0</v>
      </c>
      <c r="F233" s="696">
        <f t="shared" si="28"/>
        <v>0</v>
      </c>
    </row>
    <row r="234" spans="2:6" ht="30.75" thickBot="1" x14ac:dyDescent="0.3">
      <c r="B234" s="704" t="s">
        <v>96</v>
      </c>
      <c r="C234" s="690">
        <v>10</v>
      </c>
      <c r="D234" s="690">
        <v>10</v>
      </c>
      <c r="E234" s="690">
        <v>10</v>
      </c>
      <c r="F234" s="690">
        <v>10</v>
      </c>
    </row>
    <row r="235" spans="2:6" ht="30.75" thickBot="1" x14ac:dyDescent="0.3">
      <c r="B235" s="704" t="s">
        <v>97</v>
      </c>
      <c r="C235" s="690">
        <v>0</v>
      </c>
      <c r="D235" s="690">
        <v>0</v>
      </c>
      <c r="E235" s="690">
        <v>0</v>
      </c>
      <c r="F235" s="690">
        <v>0</v>
      </c>
    </row>
  </sheetData>
  <mergeCells count="48">
    <mergeCell ref="B174:B175"/>
    <mergeCell ref="B204:B206"/>
    <mergeCell ref="C204:F206"/>
    <mergeCell ref="B230:B232"/>
    <mergeCell ref="C230:F232"/>
    <mergeCell ref="B173:F173"/>
    <mergeCell ref="C115:F115"/>
    <mergeCell ref="B116:B117"/>
    <mergeCell ref="B124:B125"/>
    <mergeCell ref="B126:F126"/>
    <mergeCell ref="B127:B128"/>
    <mergeCell ref="B157:B159"/>
    <mergeCell ref="C157:F159"/>
    <mergeCell ref="C161:F161"/>
    <mergeCell ref="C162:F162"/>
    <mergeCell ref="C163:F163"/>
    <mergeCell ref="C164:F164"/>
    <mergeCell ref="B165:B166"/>
    <mergeCell ref="C114:F114"/>
    <mergeCell ref="B63:B65"/>
    <mergeCell ref="C63:F65"/>
    <mergeCell ref="C67:F67"/>
    <mergeCell ref="C68:F68"/>
    <mergeCell ref="C69:F69"/>
    <mergeCell ref="B71:B72"/>
    <mergeCell ref="B78:F78"/>
    <mergeCell ref="B79:B80"/>
    <mergeCell ref="B109:B111"/>
    <mergeCell ref="C109:F111"/>
    <mergeCell ref="C113:F113"/>
    <mergeCell ref="B33:B34"/>
    <mergeCell ref="B10:F12"/>
    <mergeCell ref="C13:F13"/>
    <mergeCell ref="B14:B15"/>
    <mergeCell ref="C17:F17"/>
    <mergeCell ref="B18:F18"/>
    <mergeCell ref="B20:F20"/>
    <mergeCell ref="C21:F21"/>
    <mergeCell ref="C22:F22"/>
    <mergeCell ref="C23:F23"/>
    <mergeCell ref="B24:B25"/>
    <mergeCell ref="B32:F32"/>
    <mergeCell ref="B9:F9"/>
    <mergeCell ref="B3:F3"/>
    <mergeCell ref="B4:F4"/>
    <mergeCell ref="C6:F6"/>
    <mergeCell ref="C7:F7"/>
    <mergeCell ref="C8:F8"/>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300"/>
  <sheetViews>
    <sheetView topLeftCell="A278" workbookViewId="0">
      <selection activeCell="M17" sqref="M17"/>
    </sheetView>
  </sheetViews>
  <sheetFormatPr defaultRowHeight="15" x14ac:dyDescent="0.25"/>
  <cols>
    <col min="1" max="1" width="9.140625" style="152"/>
    <col min="2" max="2" width="41.140625" style="152" customWidth="1"/>
    <col min="3" max="6" width="21.42578125" style="152" customWidth="1"/>
    <col min="7" max="16384" width="9.140625" style="152"/>
  </cols>
  <sheetData>
    <row r="3" spans="2:6" x14ac:dyDescent="0.25">
      <c r="B3" s="762" t="s">
        <v>0</v>
      </c>
      <c r="C3" s="762"/>
      <c r="D3" s="762"/>
      <c r="E3" s="762"/>
      <c r="F3" s="762"/>
    </row>
    <row r="4" spans="2:6" ht="15.75" thickBot="1" x14ac:dyDescent="0.3"/>
    <row r="5" spans="2:6" ht="15.75" thickBot="1" x14ac:dyDescent="0.3">
      <c r="B5" s="153" t="s">
        <v>2</v>
      </c>
      <c r="C5" s="979" t="s">
        <v>1183</v>
      </c>
      <c r="D5" s="979"/>
      <c r="E5" s="979"/>
      <c r="F5" s="979"/>
    </row>
    <row r="6" spans="2:6" ht="15.75" thickBot="1" x14ac:dyDescent="0.3">
      <c r="B6" s="153" t="s">
        <v>3</v>
      </c>
      <c r="C6" s="1048" t="s">
        <v>1184</v>
      </c>
      <c r="D6" s="981"/>
      <c r="E6" s="981"/>
      <c r="F6" s="982"/>
    </row>
    <row r="7" spans="2:6" ht="15.75" thickBot="1" x14ac:dyDescent="0.3">
      <c r="B7" s="153" t="s">
        <v>5</v>
      </c>
      <c r="C7" s="983" t="s">
        <v>6</v>
      </c>
      <c r="D7" s="984"/>
      <c r="E7" s="984"/>
      <c r="F7" s="985"/>
    </row>
    <row r="8" spans="2:6" ht="15.75" thickBot="1" x14ac:dyDescent="0.3">
      <c r="B8" s="986" t="s">
        <v>7</v>
      </c>
      <c r="C8" s="987"/>
      <c r="D8" s="987"/>
      <c r="E8" s="987"/>
      <c r="F8" s="988"/>
    </row>
    <row r="9" spans="2:6" x14ac:dyDescent="0.25">
      <c r="B9" s="1104" t="s">
        <v>1185</v>
      </c>
      <c r="C9" s="1105"/>
      <c r="D9" s="1105"/>
      <c r="E9" s="1105"/>
      <c r="F9" s="1106"/>
    </row>
    <row r="10" spans="2:6" x14ac:dyDescent="0.25">
      <c r="B10" s="1107"/>
      <c r="C10" s="1108"/>
      <c r="D10" s="1108"/>
      <c r="E10" s="1108"/>
      <c r="F10" s="1109"/>
    </row>
    <row r="11" spans="2:6" ht="15.75" thickBot="1" x14ac:dyDescent="0.3">
      <c r="B11" s="1110"/>
      <c r="C11" s="1111"/>
      <c r="D11" s="1111"/>
      <c r="E11" s="1111"/>
      <c r="F11" s="1112"/>
    </row>
    <row r="12" spans="2:6" ht="93" customHeight="1" thickBot="1" x14ac:dyDescent="0.3">
      <c r="B12" s="154" t="s">
        <v>8</v>
      </c>
      <c r="C12" s="1006" t="s">
        <v>1186</v>
      </c>
      <c r="D12" s="1006"/>
      <c r="E12" s="1006"/>
      <c r="F12" s="1008"/>
    </row>
    <row r="13" spans="2:6" x14ac:dyDescent="0.25">
      <c r="B13" s="998" t="s">
        <v>102</v>
      </c>
      <c r="C13" s="640">
        <v>2018</v>
      </c>
      <c r="D13" s="640">
        <v>2019</v>
      </c>
      <c r="E13" s="640">
        <v>2020</v>
      </c>
      <c r="F13" s="640">
        <v>2021</v>
      </c>
    </row>
    <row r="14" spans="2:6" ht="15.75" thickBot="1" x14ac:dyDescent="0.3">
      <c r="B14" s="999"/>
      <c r="C14" s="641" t="s">
        <v>10</v>
      </c>
      <c r="D14" s="641" t="s">
        <v>11</v>
      </c>
      <c r="E14" s="641" t="s">
        <v>11</v>
      </c>
      <c r="F14" s="641" t="s">
        <v>11</v>
      </c>
    </row>
    <row r="15" spans="2:6" ht="30.75" thickBot="1" x14ac:dyDescent="0.3">
      <c r="B15" s="62" t="s">
        <v>1187</v>
      </c>
      <c r="C15" s="665">
        <v>15130</v>
      </c>
      <c r="D15" s="157">
        <v>1</v>
      </c>
      <c r="E15" s="157">
        <v>1</v>
      </c>
      <c r="F15" s="157">
        <v>1</v>
      </c>
    </row>
    <row r="16" spans="2:6" ht="30.75" thickBot="1" x14ac:dyDescent="0.3">
      <c r="B16" s="637" t="s">
        <v>1188</v>
      </c>
      <c r="C16" s="665">
        <v>12</v>
      </c>
      <c r="D16" s="157">
        <v>1</v>
      </c>
      <c r="E16" s="157">
        <v>1</v>
      </c>
      <c r="F16" s="157">
        <v>1</v>
      </c>
    </row>
    <row r="17" spans="2:6" ht="56.25" customHeight="1" thickBot="1" x14ac:dyDescent="0.3">
      <c r="B17" s="158" t="s">
        <v>12</v>
      </c>
      <c r="C17" s="1007" t="s">
        <v>1189</v>
      </c>
      <c r="D17" s="1006"/>
      <c r="E17" s="1006"/>
      <c r="F17" s="1008"/>
    </row>
    <row r="18" spans="2:6" ht="15.75" thickBot="1" x14ac:dyDescent="0.3">
      <c r="B18" s="983" t="s">
        <v>13</v>
      </c>
      <c r="C18" s="984"/>
      <c r="D18" s="984"/>
      <c r="E18" s="984"/>
      <c r="F18" s="985"/>
    </row>
    <row r="19" spans="2:6" ht="30.75" thickBot="1" x14ac:dyDescent="0.3">
      <c r="B19" s="62" t="s">
        <v>1187</v>
      </c>
      <c r="C19" s="665">
        <v>15130</v>
      </c>
      <c r="D19" s="157">
        <v>1</v>
      </c>
      <c r="E19" s="157">
        <v>1</v>
      </c>
      <c r="F19" s="157">
        <v>1</v>
      </c>
    </row>
    <row r="20" spans="2:6" ht="30.75" thickBot="1" x14ac:dyDescent="0.3">
      <c r="B20" s="637" t="s">
        <v>1188</v>
      </c>
      <c r="C20" s="665">
        <v>12</v>
      </c>
      <c r="D20" s="157">
        <v>1</v>
      </c>
      <c r="E20" s="157">
        <v>1</v>
      </c>
      <c r="F20" s="157">
        <v>1</v>
      </c>
    </row>
    <row r="21" spans="2:6" ht="15.75" thickBot="1" x14ac:dyDescent="0.3">
      <c r="B21" s="989" t="s">
        <v>14</v>
      </c>
      <c r="C21" s="990"/>
      <c r="D21" s="990"/>
      <c r="E21" s="990"/>
      <c r="F21" s="991"/>
    </row>
    <row r="22" spans="2:6" ht="15.75" thickBot="1" x14ac:dyDescent="0.3">
      <c r="B22" s="989" t="s">
        <v>15</v>
      </c>
      <c r="C22" s="990"/>
      <c r="D22" s="990"/>
      <c r="E22" s="990"/>
      <c r="F22" s="991"/>
    </row>
    <row r="23" spans="2:6" ht="44.25" customHeight="1" thickBot="1" x14ac:dyDescent="0.3">
      <c r="B23" s="160" t="s">
        <v>16</v>
      </c>
      <c r="C23" s="1007" t="s">
        <v>1190</v>
      </c>
      <c r="D23" s="1006"/>
      <c r="E23" s="1006"/>
      <c r="F23" s="1008"/>
    </row>
    <row r="24" spans="2:6" ht="48.75" customHeight="1" thickBot="1" x14ac:dyDescent="0.3">
      <c r="B24" s="62" t="s">
        <v>17</v>
      </c>
      <c r="C24" s="1007" t="s">
        <v>1191</v>
      </c>
      <c r="D24" s="1006"/>
      <c r="E24" s="1006"/>
      <c r="F24" s="1008"/>
    </row>
    <row r="25" spans="2:6" ht="15.75" thickBot="1" x14ac:dyDescent="0.3">
      <c r="B25" s="62" t="s">
        <v>18</v>
      </c>
      <c r="C25" s="995" t="s">
        <v>73</v>
      </c>
      <c r="D25" s="996"/>
      <c r="E25" s="996"/>
      <c r="F25" s="997"/>
    </row>
    <row r="26" spans="2:6" x14ac:dyDescent="0.25">
      <c r="B26" s="998"/>
      <c r="C26" s="63">
        <v>2018</v>
      </c>
      <c r="D26" s="63">
        <v>2019</v>
      </c>
      <c r="E26" s="63">
        <v>2020</v>
      </c>
      <c r="F26" s="63">
        <v>2021</v>
      </c>
    </row>
    <row r="27" spans="2:6" ht="15.75" thickBot="1" x14ac:dyDescent="0.3">
      <c r="B27" s="999"/>
      <c r="C27" s="64" t="s">
        <v>10</v>
      </c>
      <c r="D27" s="64" t="s">
        <v>11</v>
      </c>
      <c r="E27" s="64" t="s">
        <v>11</v>
      </c>
      <c r="F27" s="64" t="s">
        <v>11</v>
      </c>
    </row>
    <row r="28" spans="2:6" ht="15.75" thickBot="1" x14ac:dyDescent="0.3">
      <c r="B28" s="62" t="s">
        <v>19</v>
      </c>
      <c r="C28" s="161">
        <v>600</v>
      </c>
      <c r="D28" s="161">
        <v>600</v>
      </c>
      <c r="E28" s="161">
        <v>8</v>
      </c>
      <c r="F28" s="161"/>
    </row>
    <row r="29" spans="2:6" ht="15.75" thickBot="1" x14ac:dyDescent="0.3">
      <c r="B29" s="62" t="s">
        <v>20</v>
      </c>
      <c r="C29" s="161">
        <v>30066</v>
      </c>
      <c r="D29" s="161">
        <v>30066</v>
      </c>
      <c r="E29" s="161">
        <v>18454</v>
      </c>
      <c r="F29" s="161"/>
    </row>
    <row r="30" spans="2:6" ht="15.75" thickBot="1" x14ac:dyDescent="0.3">
      <c r="B30" s="62" t="s">
        <v>21</v>
      </c>
      <c r="C30" s="161">
        <f>C29/C28</f>
        <v>50.11</v>
      </c>
      <c r="D30" s="161">
        <f t="shared" ref="D30:F30" si="0">D29/D28</f>
        <v>50.11</v>
      </c>
      <c r="E30" s="161">
        <f t="shared" si="0"/>
        <v>2306.75</v>
      </c>
      <c r="F30" s="161" t="e">
        <f t="shared" si="0"/>
        <v>#DIV/0!</v>
      </c>
    </row>
    <row r="31" spans="2:6" ht="15.75" thickBot="1" x14ac:dyDescent="0.3">
      <c r="B31" s="62" t="s">
        <v>22</v>
      </c>
      <c r="C31" s="636" t="s">
        <v>23</v>
      </c>
      <c r="D31" s="162">
        <f>D28/C28-1</f>
        <v>0</v>
      </c>
      <c r="E31" s="162">
        <f t="shared" ref="E31:F33" si="1">E28/D28-1</f>
        <v>-0.98666666666666669</v>
      </c>
      <c r="F31" s="162">
        <f t="shared" si="1"/>
        <v>-1</v>
      </c>
    </row>
    <row r="32" spans="2:6" ht="15.75" thickBot="1" x14ac:dyDescent="0.3">
      <c r="B32" s="62" t="s">
        <v>24</v>
      </c>
      <c r="C32" s="636" t="s">
        <v>23</v>
      </c>
      <c r="D32" s="162">
        <f>D29/C29-1</f>
        <v>0</v>
      </c>
      <c r="E32" s="162">
        <f t="shared" si="1"/>
        <v>-0.38621698929022819</v>
      </c>
      <c r="F32" s="162">
        <f t="shared" si="1"/>
        <v>-1</v>
      </c>
    </row>
    <row r="33" spans="2:6" ht="15.75" thickBot="1" x14ac:dyDescent="0.3">
      <c r="B33" s="62" t="s">
        <v>25</v>
      </c>
      <c r="C33" s="636" t="s">
        <v>23</v>
      </c>
      <c r="D33" s="162">
        <f>D30/C30-1</f>
        <v>0</v>
      </c>
      <c r="E33" s="162">
        <f t="shared" si="1"/>
        <v>45.03372580323289</v>
      </c>
      <c r="F33" s="162" t="e">
        <f t="shared" si="1"/>
        <v>#DIV/0!</v>
      </c>
    </row>
    <row r="34" spans="2:6" ht="15.75" thickBot="1" x14ac:dyDescent="0.3">
      <c r="B34" s="1000" t="s">
        <v>784</v>
      </c>
      <c r="C34" s="1001"/>
      <c r="D34" s="1001"/>
      <c r="E34" s="1001"/>
      <c r="F34" s="1002"/>
    </row>
    <row r="35" spans="2:6" x14ac:dyDescent="0.25">
      <c r="B35" s="998"/>
      <c r="C35" s="63">
        <v>2018</v>
      </c>
      <c r="D35" s="63">
        <v>2019</v>
      </c>
      <c r="E35" s="63">
        <v>2020</v>
      </c>
      <c r="F35" s="63">
        <v>2021</v>
      </c>
    </row>
    <row r="36" spans="2:6" ht="15.75" thickBot="1" x14ac:dyDescent="0.3">
      <c r="B36" s="999"/>
      <c r="C36" s="64" t="s">
        <v>10</v>
      </c>
      <c r="D36" s="64" t="s">
        <v>11</v>
      </c>
      <c r="E36" s="64" t="s">
        <v>11</v>
      </c>
      <c r="F36" s="64" t="s">
        <v>11</v>
      </c>
    </row>
    <row r="37" spans="2:6" ht="15.75" thickBot="1" x14ac:dyDescent="0.3">
      <c r="B37" s="65" t="s">
        <v>26</v>
      </c>
      <c r="C37" s="164">
        <v>19399</v>
      </c>
      <c r="D37" s="164">
        <v>19400</v>
      </c>
      <c r="E37" s="164">
        <v>9905</v>
      </c>
      <c r="F37" s="164"/>
    </row>
    <row r="38" spans="2:6" ht="30.75" thickBot="1" x14ac:dyDescent="0.3">
      <c r="B38" s="181" t="s">
        <v>27</v>
      </c>
      <c r="C38" s="165"/>
      <c r="D38" s="288"/>
      <c r="E38" s="288"/>
      <c r="F38" s="288"/>
    </row>
    <row r="39" spans="2:6" ht="30.75" thickBot="1" x14ac:dyDescent="0.3">
      <c r="B39" s="181" t="s">
        <v>817</v>
      </c>
      <c r="C39" s="165"/>
      <c r="D39" s="182"/>
      <c r="E39" s="182"/>
      <c r="F39" s="182"/>
    </row>
    <row r="40" spans="2:6" ht="15.75" thickBot="1" x14ac:dyDescent="0.3">
      <c r="B40" s="65" t="s">
        <v>28</v>
      </c>
      <c r="C40" s="164">
        <v>3785</v>
      </c>
      <c r="D40" s="164">
        <v>3800</v>
      </c>
      <c r="E40" s="164">
        <v>1348</v>
      </c>
      <c r="F40" s="164"/>
    </row>
    <row r="41" spans="2:6" ht="45.75" thickBot="1" x14ac:dyDescent="0.3">
      <c r="B41" s="181" t="s">
        <v>29</v>
      </c>
      <c r="C41" s="165"/>
      <c r="D41" s="164"/>
      <c r="E41" s="164"/>
      <c r="F41" s="164"/>
    </row>
    <row r="42" spans="2:6" ht="45.75" thickBot="1" x14ac:dyDescent="0.3">
      <c r="B42" s="181" t="s">
        <v>818</v>
      </c>
      <c r="C42" s="165"/>
      <c r="D42" s="164"/>
      <c r="E42" s="164"/>
      <c r="F42" s="164"/>
    </row>
    <row r="43" spans="2:6" ht="15.75" thickBot="1" x14ac:dyDescent="0.3">
      <c r="B43" s="65" t="s">
        <v>30</v>
      </c>
      <c r="C43" s="165">
        <v>6882</v>
      </c>
      <c r="D43" s="164">
        <v>6866</v>
      </c>
      <c r="E43" s="164">
        <v>7201</v>
      </c>
      <c r="F43" s="164"/>
    </row>
    <row r="44" spans="2:6" ht="30.75" thickBot="1" x14ac:dyDescent="0.3">
      <c r="B44" s="181" t="s">
        <v>31</v>
      </c>
      <c r="C44" s="165"/>
      <c r="D44" s="164"/>
      <c r="E44" s="164"/>
      <c r="F44" s="164"/>
    </row>
    <row r="45" spans="2:6" ht="30.75" thickBot="1" x14ac:dyDescent="0.3">
      <c r="B45" s="181" t="s">
        <v>819</v>
      </c>
      <c r="C45" s="165"/>
      <c r="D45" s="164"/>
      <c r="E45" s="164"/>
      <c r="F45" s="164"/>
    </row>
    <row r="46" spans="2:6" ht="15.75" thickBot="1" x14ac:dyDescent="0.3">
      <c r="B46" s="65" t="s">
        <v>38</v>
      </c>
      <c r="C46" s="165"/>
      <c r="D46" s="164"/>
      <c r="E46" s="164"/>
      <c r="F46" s="164"/>
    </row>
    <row r="47" spans="2:6" ht="30.75" thickBot="1" x14ac:dyDescent="0.3">
      <c r="B47" s="181" t="s">
        <v>39</v>
      </c>
      <c r="C47" s="165"/>
      <c r="D47" s="164"/>
      <c r="E47" s="164"/>
      <c r="F47" s="164"/>
    </row>
    <row r="48" spans="2:6" ht="45.75" thickBot="1" x14ac:dyDescent="0.3">
      <c r="B48" s="181" t="s">
        <v>823</v>
      </c>
      <c r="C48" s="165"/>
      <c r="D48" s="164"/>
      <c r="E48" s="164"/>
      <c r="F48" s="164"/>
    </row>
    <row r="49" spans="2:6" ht="15.75" thickBot="1" x14ac:dyDescent="0.3">
      <c r="B49" s="66" t="s">
        <v>40</v>
      </c>
      <c r="C49" s="165">
        <f>C46+C43+C40+C37</f>
        <v>30066</v>
      </c>
      <c r="D49" s="165">
        <f t="shared" ref="D49:F49" si="2">D46+D43+D40+D37</f>
        <v>30066</v>
      </c>
      <c r="E49" s="165">
        <f t="shared" si="2"/>
        <v>18454</v>
      </c>
      <c r="F49" s="165">
        <f t="shared" si="2"/>
        <v>0</v>
      </c>
    </row>
    <row r="50" spans="2:6" x14ac:dyDescent="0.25">
      <c r="B50" s="1015" t="s">
        <v>785</v>
      </c>
      <c r="C50" s="1036"/>
      <c r="D50" s="1037"/>
      <c r="E50" s="1037"/>
      <c r="F50" s="1038"/>
    </row>
    <row r="51" spans="2:6" x14ac:dyDescent="0.25">
      <c r="B51" s="1016"/>
      <c r="C51" s="1039"/>
      <c r="D51" s="1040"/>
      <c r="E51" s="1040"/>
      <c r="F51" s="1041"/>
    </row>
    <row r="52" spans="2:6" ht="15.75" thickBot="1" x14ac:dyDescent="0.3">
      <c r="B52" s="1017"/>
      <c r="C52" s="1042"/>
      <c r="D52" s="1043"/>
      <c r="E52" s="1043"/>
      <c r="F52" s="1044"/>
    </row>
    <row r="53" spans="2:6" ht="15.75" thickBot="1" x14ac:dyDescent="0.3">
      <c r="B53" s="166" t="s">
        <v>41</v>
      </c>
      <c r="C53" s="167">
        <f>IF(C49-C29=0,0,"Error")</f>
        <v>0</v>
      </c>
      <c r="D53" s="167">
        <f>IF(D49-D29=0,0,"Error")</f>
        <v>0</v>
      </c>
      <c r="E53" s="167">
        <f>IF(E49-E29=0,0,"Error")</f>
        <v>0</v>
      </c>
      <c r="F53" s="167">
        <f>IF(F49-F29=0,0,"Error")</f>
        <v>0</v>
      </c>
    </row>
    <row r="54" spans="2:6" ht="15.75" thickBot="1" x14ac:dyDescent="0.3">
      <c r="B54" s="218" t="s">
        <v>42</v>
      </c>
      <c r="C54" s="992" t="s">
        <v>1192</v>
      </c>
      <c r="D54" s="993"/>
      <c r="E54" s="993"/>
      <c r="F54" s="994"/>
    </row>
    <row r="55" spans="2:6" ht="15.75" thickBot="1" x14ac:dyDescent="0.3">
      <c r="B55" s="62" t="s">
        <v>17</v>
      </c>
      <c r="C55" s="992" t="s">
        <v>1193</v>
      </c>
      <c r="D55" s="993"/>
      <c r="E55" s="993"/>
      <c r="F55" s="994"/>
    </row>
    <row r="56" spans="2:6" ht="15.75" thickBot="1" x14ac:dyDescent="0.3">
      <c r="B56" s="62" t="s">
        <v>18</v>
      </c>
      <c r="C56" s="995" t="s">
        <v>1194</v>
      </c>
      <c r="D56" s="996"/>
      <c r="E56" s="996"/>
      <c r="F56" s="997"/>
    </row>
    <row r="57" spans="2:6" ht="15.75" thickBot="1" x14ac:dyDescent="0.3">
      <c r="B57" s="62" t="s">
        <v>19</v>
      </c>
      <c r="C57" s="161">
        <v>1</v>
      </c>
      <c r="D57" s="161">
        <v>1</v>
      </c>
      <c r="E57" s="161">
        <v>1</v>
      </c>
      <c r="F57" s="161">
        <v>1</v>
      </c>
    </row>
    <row r="58" spans="2:6" x14ac:dyDescent="0.25">
      <c r="B58" s="998"/>
      <c r="C58" s="63">
        <v>2018</v>
      </c>
      <c r="D58" s="63">
        <v>2019</v>
      </c>
      <c r="E58" s="63">
        <v>2020</v>
      </c>
      <c r="F58" s="63">
        <v>2021</v>
      </c>
    </row>
    <row r="59" spans="2:6" ht="15.75" thickBot="1" x14ac:dyDescent="0.3">
      <c r="B59" s="999"/>
      <c r="C59" s="64" t="s">
        <v>10</v>
      </c>
      <c r="D59" s="64" t="s">
        <v>11</v>
      </c>
      <c r="E59" s="64" t="s">
        <v>11</v>
      </c>
      <c r="F59" s="64" t="s">
        <v>11</v>
      </c>
    </row>
    <row r="60" spans="2:6" ht="15.75" thickBot="1" x14ac:dyDescent="0.3">
      <c r="B60" s="62" t="s">
        <v>20</v>
      </c>
      <c r="C60" s="161">
        <v>9251</v>
      </c>
      <c r="D60" s="161">
        <v>9251</v>
      </c>
      <c r="E60" s="161">
        <v>9251</v>
      </c>
      <c r="F60" s="161">
        <v>9251</v>
      </c>
    </row>
    <row r="61" spans="2:6" ht="15.75" thickBot="1" x14ac:dyDescent="0.3">
      <c r="B61" s="62" t="s">
        <v>21</v>
      </c>
      <c r="C61" s="161">
        <f>C60/C57</f>
        <v>9251</v>
      </c>
      <c r="D61" s="161">
        <f>D60/D57</f>
        <v>9251</v>
      </c>
      <c r="E61" s="161">
        <f>E60/E57</f>
        <v>9251</v>
      </c>
      <c r="F61" s="161">
        <f>F60/F57</f>
        <v>9251</v>
      </c>
    </row>
    <row r="62" spans="2:6" ht="15.75" thickBot="1" x14ac:dyDescent="0.3">
      <c r="B62" s="62" t="s">
        <v>22</v>
      </c>
      <c r="C62" s="636"/>
      <c r="D62" s="162">
        <f>D57/C57-1</f>
        <v>0</v>
      </c>
      <c r="E62" s="162">
        <f>E57/D57-1</f>
        <v>0</v>
      </c>
      <c r="F62" s="162">
        <f>F57/E57-1</f>
        <v>0</v>
      </c>
    </row>
    <row r="63" spans="2:6" ht="15.75" thickBot="1" x14ac:dyDescent="0.3">
      <c r="B63" s="62" t="s">
        <v>24</v>
      </c>
      <c r="C63" s="636"/>
      <c r="D63" s="162">
        <f>D60/C60-1</f>
        <v>0</v>
      </c>
      <c r="E63" s="162">
        <f t="shared" ref="E63:F64" si="3">E60/D60-1</f>
        <v>0</v>
      </c>
      <c r="F63" s="162">
        <f t="shared" si="3"/>
        <v>0</v>
      </c>
    </row>
    <row r="64" spans="2:6" ht="15.75" thickBot="1" x14ac:dyDescent="0.3">
      <c r="B64" s="62" t="s">
        <v>25</v>
      </c>
      <c r="C64" s="636"/>
      <c r="D64" s="162">
        <f>D61/C61-1</f>
        <v>0</v>
      </c>
      <c r="E64" s="162">
        <f t="shared" si="3"/>
        <v>0</v>
      </c>
      <c r="F64" s="162">
        <f t="shared" si="3"/>
        <v>0</v>
      </c>
    </row>
    <row r="65" spans="2:6" ht="15.75" thickBot="1" x14ac:dyDescent="0.3">
      <c r="B65" s="1000" t="s">
        <v>796</v>
      </c>
      <c r="C65" s="1001"/>
      <c r="D65" s="1001"/>
      <c r="E65" s="1001"/>
      <c r="F65" s="1002"/>
    </row>
    <row r="66" spans="2:6" x14ac:dyDescent="0.25">
      <c r="B66" s="998"/>
      <c r="C66" s="63">
        <v>2018</v>
      </c>
      <c r="D66" s="63">
        <v>2019</v>
      </c>
      <c r="E66" s="63">
        <v>2020</v>
      </c>
      <c r="F66" s="63">
        <v>2021</v>
      </c>
    </row>
    <row r="67" spans="2:6" ht="15.75" thickBot="1" x14ac:dyDescent="0.3">
      <c r="B67" s="999"/>
      <c r="C67" s="64" t="s">
        <v>10</v>
      </c>
      <c r="D67" s="64" t="s">
        <v>11</v>
      </c>
      <c r="E67" s="64" t="s">
        <v>11</v>
      </c>
      <c r="F67" s="64" t="s">
        <v>11</v>
      </c>
    </row>
    <row r="68" spans="2:6" ht="15.75" thickBot="1" x14ac:dyDescent="0.3">
      <c r="B68" s="65" t="s">
        <v>26</v>
      </c>
      <c r="C68" s="164">
        <v>5969</v>
      </c>
      <c r="D68" s="164">
        <v>5969</v>
      </c>
      <c r="E68" s="164">
        <v>5969</v>
      </c>
      <c r="F68" s="164">
        <v>5969</v>
      </c>
    </row>
    <row r="69" spans="2:6" ht="30.75" thickBot="1" x14ac:dyDescent="0.3">
      <c r="B69" s="181" t="s">
        <v>27</v>
      </c>
      <c r="C69" s="165"/>
      <c r="D69" s="182"/>
      <c r="E69" s="182"/>
      <c r="F69" s="182"/>
    </row>
    <row r="70" spans="2:6" ht="30.75" thickBot="1" x14ac:dyDescent="0.3">
      <c r="B70" s="181" t="s">
        <v>45</v>
      </c>
      <c r="C70" s="165"/>
      <c r="D70" s="182"/>
      <c r="E70" s="182"/>
      <c r="F70" s="182"/>
    </row>
    <row r="71" spans="2:6" ht="15.75" thickBot="1" x14ac:dyDescent="0.3">
      <c r="B71" s="65" t="s">
        <v>28</v>
      </c>
      <c r="C71" s="164">
        <v>1165</v>
      </c>
      <c r="D71" s="164">
        <v>1165</v>
      </c>
      <c r="E71" s="164">
        <v>1165</v>
      </c>
      <c r="F71" s="164">
        <v>1165</v>
      </c>
    </row>
    <row r="72" spans="2:6" ht="45.75" thickBot="1" x14ac:dyDescent="0.3">
      <c r="B72" s="181" t="s">
        <v>29</v>
      </c>
      <c r="C72" s="165"/>
      <c r="D72" s="164"/>
      <c r="E72" s="164"/>
      <c r="F72" s="164"/>
    </row>
    <row r="73" spans="2:6" ht="45.75" thickBot="1" x14ac:dyDescent="0.3">
      <c r="B73" s="181" t="s">
        <v>46</v>
      </c>
      <c r="C73" s="165"/>
      <c r="D73" s="164"/>
      <c r="E73" s="164"/>
      <c r="F73" s="164"/>
    </row>
    <row r="74" spans="2:6" ht="15.75" thickBot="1" x14ac:dyDescent="0.3">
      <c r="B74" s="65" t="s">
        <v>30</v>
      </c>
      <c r="C74" s="165">
        <v>2117</v>
      </c>
      <c r="D74" s="164">
        <v>2117</v>
      </c>
      <c r="E74" s="164">
        <v>2117</v>
      </c>
      <c r="F74" s="164">
        <v>2117</v>
      </c>
    </row>
    <row r="75" spans="2:6" ht="30.75" thickBot="1" x14ac:dyDescent="0.3">
      <c r="B75" s="181" t="s">
        <v>31</v>
      </c>
      <c r="C75" s="165"/>
      <c r="D75" s="164"/>
      <c r="E75" s="164"/>
      <c r="F75" s="164"/>
    </row>
    <row r="76" spans="2:6" ht="30.75" thickBot="1" x14ac:dyDescent="0.3">
      <c r="B76" s="181" t="s">
        <v>47</v>
      </c>
      <c r="C76" s="165"/>
      <c r="D76" s="164"/>
      <c r="E76" s="164"/>
      <c r="F76" s="164"/>
    </row>
    <row r="77" spans="2:6" ht="15.75" thickBot="1" x14ac:dyDescent="0.3">
      <c r="B77" s="65" t="s">
        <v>38</v>
      </c>
      <c r="C77" s="165"/>
      <c r="D77" s="164"/>
      <c r="E77" s="164"/>
      <c r="F77" s="164"/>
    </row>
    <row r="78" spans="2:6" ht="30.75" thickBot="1" x14ac:dyDescent="0.3">
      <c r="B78" s="181" t="s">
        <v>39</v>
      </c>
      <c r="C78" s="165"/>
      <c r="D78" s="164"/>
      <c r="E78" s="164"/>
      <c r="F78" s="164"/>
    </row>
    <row r="79" spans="2:6" ht="30.75" thickBot="1" x14ac:dyDescent="0.3">
      <c r="B79" s="181" t="s">
        <v>51</v>
      </c>
      <c r="C79" s="165"/>
      <c r="D79" s="164"/>
      <c r="E79" s="164"/>
      <c r="F79" s="164"/>
    </row>
    <row r="80" spans="2:6" ht="15.75" thickBot="1" x14ac:dyDescent="0.3">
      <c r="B80" s="196" t="s">
        <v>43</v>
      </c>
      <c r="C80" s="165">
        <f>C77+C71+C68+C74</f>
        <v>9251</v>
      </c>
      <c r="D80" s="165">
        <f t="shared" ref="D80:F80" si="4">D77+D71+D68+D74</f>
        <v>9251</v>
      </c>
      <c r="E80" s="165">
        <f t="shared" si="4"/>
        <v>9251</v>
      </c>
      <c r="F80" s="165">
        <f t="shared" si="4"/>
        <v>9251</v>
      </c>
    </row>
    <row r="81" spans="2:6" x14ac:dyDescent="0.25">
      <c r="B81" s="1015" t="s">
        <v>120</v>
      </c>
      <c r="C81" s="1037"/>
      <c r="D81" s="1037"/>
      <c r="E81" s="1037"/>
      <c r="F81" s="1038"/>
    </row>
    <row r="82" spans="2:6" x14ac:dyDescent="0.25">
      <c r="B82" s="1016"/>
      <c r="C82" s="1040"/>
      <c r="D82" s="1040"/>
      <c r="E82" s="1040"/>
      <c r="F82" s="1041"/>
    </row>
    <row r="83" spans="2:6" ht="15.75" thickBot="1" x14ac:dyDescent="0.3">
      <c r="B83" s="1017"/>
      <c r="C83" s="1043"/>
      <c r="D83" s="1043"/>
      <c r="E83" s="1043"/>
      <c r="F83" s="1044"/>
    </row>
    <row r="84" spans="2:6" ht="15.75" thickBot="1" x14ac:dyDescent="0.3">
      <c r="B84" s="166" t="s">
        <v>41</v>
      </c>
      <c r="C84" s="167">
        <f>IF(C80-C60=0,0,"Error")</f>
        <v>0</v>
      </c>
      <c r="D84" s="167">
        <f>IF(D80-D60=0,0,"Error")</f>
        <v>0</v>
      </c>
      <c r="E84" s="167">
        <f>IF(E80-E60=0,0,"Error")</f>
        <v>0</v>
      </c>
      <c r="F84" s="167">
        <f>IF(F80-F60=0,0,"Error")</f>
        <v>0</v>
      </c>
    </row>
    <row r="85" spans="2:6" ht="30.75" customHeight="1" thickBot="1" x14ac:dyDescent="0.3">
      <c r="B85" s="218" t="s">
        <v>44</v>
      </c>
      <c r="C85" s="1007" t="s">
        <v>1195</v>
      </c>
      <c r="D85" s="1006"/>
      <c r="E85" s="1006"/>
      <c r="F85" s="1008"/>
    </row>
    <row r="86" spans="2:6" ht="27" customHeight="1" thickBot="1" x14ac:dyDescent="0.3">
      <c r="B86" s="62" t="s">
        <v>17</v>
      </c>
      <c r="C86" s="1007" t="s">
        <v>1195</v>
      </c>
      <c r="D86" s="1006"/>
      <c r="E86" s="1006"/>
      <c r="F86" s="1008"/>
    </row>
    <row r="87" spans="2:6" ht="15.75" thickBot="1" x14ac:dyDescent="0.3">
      <c r="B87" s="62" t="s">
        <v>18</v>
      </c>
      <c r="C87" s="995" t="s">
        <v>1196</v>
      </c>
      <c r="D87" s="996"/>
      <c r="E87" s="996"/>
      <c r="F87" s="997"/>
    </row>
    <row r="88" spans="2:6" ht="15.75" thickBot="1" x14ac:dyDescent="0.3">
      <c r="B88" s="62" t="s">
        <v>19</v>
      </c>
      <c r="C88" s="161">
        <v>1</v>
      </c>
      <c r="D88" s="161">
        <v>0</v>
      </c>
      <c r="E88" s="161">
        <v>0</v>
      </c>
      <c r="F88" s="161">
        <v>0</v>
      </c>
    </row>
    <row r="89" spans="2:6" x14ac:dyDescent="0.25">
      <c r="B89" s="998"/>
      <c r="C89" s="63">
        <v>2018</v>
      </c>
      <c r="D89" s="63">
        <v>2019</v>
      </c>
      <c r="E89" s="63">
        <v>2020</v>
      </c>
      <c r="F89" s="63">
        <v>2021</v>
      </c>
    </row>
    <row r="90" spans="2:6" ht="15.75" thickBot="1" x14ac:dyDescent="0.3">
      <c r="B90" s="999"/>
      <c r="C90" s="64" t="s">
        <v>10</v>
      </c>
      <c r="D90" s="64" t="s">
        <v>11</v>
      </c>
      <c r="E90" s="64" t="s">
        <v>11</v>
      </c>
      <c r="F90" s="64" t="s">
        <v>11</v>
      </c>
    </row>
    <row r="91" spans="2:6" ht="15.75" thickBot="1" x14ac:dyDescent="0.3">
      <c r="B91" s="62" t="s">
        <v>20</v>
      </c>
      <c r="C91" s="161">
        <v>6939</v>
      </c>
      <c r="D91" s="161">
        <v>0</v>
      </c>
      <c r="E91" s="161">
        <v>0</v>
      </c>
      <c r="F91" s="161">
        <v>0</v>
      </c>
    </row>
    <row r="92" spans="2:6" ht="15.75" thickBot="1" x14ac:dyDescent="0.3">
      <c r="B92" s="62" t="s">
        <v>21</v>
      </c>
      <c r="C92" s="161">
        <f>C91/C88</f>
        <v>6939</v>
      </c>
      <c r="D92" s="161" t="e">
        <f>D91/D88</f>
        <v>#DIV/0!</v>
      </c>
      <c r="E92" s="161" t="e">
        <f>E91/E88</f>
        <v>#DIV/0!</v>
      </c>
      <c r="F92" s="161" t="e">
        <f>F91/F88</f>
        <v>#DIV/0!</v>
      </c>
    </row>
    <row r="93" spans="2:6" ht="15.75" thickBot="1" x14ac:dyDescent="0.3">
      <c r="B93" s="62" t="s">
        <v>22</v>
      </c>
      <c r="C93" s="636"/>
      <c r="D93" s="162">
        <f>D88/C88-1</f>
        <v>-1</v>
      </c>
      <c r="E93" s="162" t="e">
        <f>E88/D88-1</f>
        <v>#DIV/0!</v>
      </c>
      <c r="F93" s="162" t="e">
        <f>F88/E88-1</f>
        <v>#DIV/0!</v>
      </c>
    </row>
    <row r="94" spans="2:6" ht="15.75" thickBot="1" x14ac:dyDescent="0.3">
      <c r="B94" s="62" t="s">
        <v>24</v>
      </c>
      <c r="C94" s="636"/>
      <c r="D94" s="162">
        <f>D91/C91-1</f>
        <v>-1</v>
      </c>
      <c r="E94" s="162" t="e">
        <f t="shared" ref="E94:F95" si="5">E91/D91-1</f>
        <v>#DIV/0!</v>
      </c>
      <c r="F94" s="162" t="e">
        <f t="shared" si="5"/>
        <v>#DIV/0!</v>
      </c>
    </row>
    <row r="95" spans="2:6" ht="15.75" thickBot="1" x14ac:dyDescent="0.3">
      <c r="B95" s="62" t="s">
        <v>25</v>
      </c>
      <c r="C95" s="636"/>
      <c r="D95" s="162" t="e">
        <f>D92/C92-1</f>
        <v>#DIV/0!</v>
      </c>
      <c r="E95" s="162" t="e">
        <f t="shared" si="5"/>
        <v>#DIV/0!</v>
      </c>
      <c r="F95" s="162" t="e">
        <f t="shared" si="5"/>
        <v>#DIV/0!</v>
      </c>
    </row>
    <row r="96" spans="2:6" ht="15.75" thickBot="1" x14ac:dyDescent="0.3">
      <c r="B96" s="1000" t="s">
        <v>1211</v>
      </c>
      <c r="C96" s="1001"/>
      <c r="D96" s="1001"/>
      <c r="E96" s="1001"/>
      <c r="F96" s="1002"/>
    </row>
    <row r="97" spans="2:6" x14ac:dyDescent="0.25">
      <c r="B97" s="998"/>
      <c r="C97" s="63">
        <v>2018</v>
      </c>
      <c r="D97" s="63">
        <v>2019</v>
      </c>
      <c r="E97" s="63">
        <v>2020</v>
      </c>
      <c r="F97" s="63">
        <v>2021</v>
      </c>
    </row>
    <row r="98" spans="2:6" ht="15.75" thickBot="1" x14ac:dyDescent="0.3">
      <c r="B98" s="999"/>
      <c r="C98" s="64" t="s">
        <v>10</v>
      </c>
      <c r="D98" s="64" t="s">
        <v>11</v>
      </c>
      <c r="E98" s="64" t="s">
        <v>11</v>
      </c>
      <c r="F98" s="64" t="s">
        <v>11</v>
      </c>
    </row>
    <row r="99" spans="2:6" ht="15.75" thickBot="1" x14ac:dyDescent="0.3">
      <c r="B99" s="65" t="s">
        <v>26</v>
      </c>
      <c r="C99" s="164">
        <v>4478</v>
      </c>
      <c r="D99" s="164">
        <v>0</v>
      </c>
      <c r="E99" s="164">
        <v>0</v>
      </c>
      <c r="F99" s="164">
        <v>0</v>
      </c>
    </row>
    <row r="100" spans="2:6" ht="30.75" thickBot="1" x14ac:dyDescent="0.3">
      <c r="B100" s="181" t="s">
        <v>27</v>
      </c>
      <c r="C100" s="165"/>
      <c r="D100" s="182"/>
      <c r="E100" s="182"/>
      <c r="F100" s="182"/>
    </row>
    <row r="101" spans="2:6" ht="30.75" thickBot="1" x14ac:dyDescent="0.3">
      <c r="B101" s="181" t="s">
        <v>45</v>
      </c>
      <c r="C101" s="165"/>
      <c r="D101" s="182"/>
      <c r="E101" s="182"/>
      <c r="F101" s="182"/>
    </row>
    <row r="102" spans="2:6" ht="15.75" thickBot="1" x14ac:dyDescent="0.3">
      <c r="B102" s="65" t="s">
        <v>28</v>
      </c>
      <c r="C102" s="164">
        <v>873</v>
      </c>
      <c r="D102" s="164">
        <v>0</v>
      </c>
      <c r="E102" s="164">
        <v>0</v>
      </c>
      <c r="F102" s="164">
        <v>0</v>
      </c>
    </row>
    <row r="103" spans="2:6" ht="45.75" thickBot="1" x14ac:dyDescent="0.3">
      <c r="B103" s="181" t="s">
        <v>29</v>
      </c>
      <c r="C103" s="165"/>
      <c r="D103" s="164"/>
      <c r="E103" s="164"/>
      <c r="F103" s="164"/>
    </row>
    <row r="104" spans="2:6" ht="45.75" thickBot="1" x14ac:dyDescent="0.3">
      <c r="B104" s="181" t="s">
        <v>46</v>
      </c>
      <c r="C104" s="165"/>
      <c r="D104" s="164"/>
      <c r="E104" s="164"/>
      <c r="F104" s="164"/>
    </row>
    <row r="105" spans="2:6" ht="15.75" thickBot="1" x14ac:dyDescent="0.3">
      <c r="B105" s="65" t="s">
        <v>30</v>
      </c>
      <c r="C105" s="165">
        <v>1588</v>
      </c>
      <c r="D105" s="164">
        <v>0</v>
      </c>
      <c r="E105" s="164">
        <v>0</v>
      </c>
      <c r="F105" s="164">
        <v>0</v>
      </c>
    </row>
    <row r="106" spans="2:6" ht="30.75" thickBot="1" x14ac:dyDescent="0.3">
      <c r="B106" s="181" t="s">
        <v>31</v>
      </c>
      <c r="C106" s="165"/>
      <c r="D106" s="164"/>
      <c r="E106" s="164"/>
      <c r="F106" s="164"/>
    </row>
    <row r="107" spans="2:6" ht="30.75" thickBot="1" x14ac:dyDescent="0.3">
      <c r="B107" s="181" t="s">
        <v>47</v>
      </c>
      <c r="C107" s="165"/>
      <c r="D107" s="164"/>
      <c r="E107" s="164"/>
      <c r="F107" s="164"/>
    </row>
    <row r="108" spans="2:6" ht="15.75" thickBot="1" x14ac:dyDescent="0.3">
      <c r="B108" s="65" t="s">
        <v>38</v>
      </c>
      <c r="C108" s="165"/>
      <c r="D108" s="164"/>
      <c r="E108" s="164"/>
      <c r="F108" s="164"/>
    </row>
    <row r="109" spans="2:6" ht="30.75" thickBot="1" x14ac:dyDescent="0.3">
      <c r="B109" s="181" t="s">
        <v>39</v>
      </c>
      <c r="C109" s="165"/>
      <c r="D109" s="164"/>
      <c r="E109" s="164"/>
      <c r="F109" s="164"/>
    </row>
    <row r="110" spans="2:6" ht="30.75" thickBot="1" x14ac:dyDescent="0.3">
      <c r="B110" s="181" t="s">
        <v>51</v>
      </c>
      <c r="C110" s="165"/>
      <c r="D110" s="164"/>
      <c r="E110" s="164"/>
      <c r="F110" s="164"/>
    </row>
    <row r="111" spans="2:6" ht="15.75" thickBot="1" x14ac:dyDescent="0.3">
      <c r="B111" s="196" t="s">
        <v>74</v>
      </c>
      <c r="C111" s="165">
        <f>C108+C102+C99+C105</f>
        <v>6939</v>
      </c>
      <c r="D111" s="165">
        <f t="shared" ref="D111:F111" si="6">D108+D102+D99+D105</f>
        <v>0</v>
      </c>
      <c r="E111" s="165">
        <f t="shared" si="6"/>
        <v>0</v>
      </c>
      <c r="F111" s="165">
        <f t="shared" si="6"/>
        <v>0</v>
      </c>
    </row>
    <row r="112" spans="2:6" x14ac:dyDescent="0.25">
      <c r="B112" s="1015" t="s">
        <v>120</v>
      </c>
      <c r="C112" s="1037"/>
      <c r="D112" s="1037"/>
      <c r="E112" s="1037"/>
      <c r="F112" s="1038"/>
    </row>
    <row r="113" spans="2:6" x14ac:dyDescent="0.25">
      <c r="B113" s="1016"/>
      <c r="C113" s="1040"/>
      <c r="D113" s="1040"/>
      <c r="E113" s="1040"/>
      <c r="F113" s="1041"/>
    </row>
    <row r="114" spans="2:6" ht="15.75" thickBot="1" x14ac:dyDescent="0.3">
      <c r="B114" s="1017"/>
      <c r="C114" s="1043"/>
      <c r="D114" s="1043"/>
      <c r="E114" s="1043"/>
      <c r="F114" s="1044"/>
    </row>
    <row r="115" spans="2:6" ht="15.75" thickBot="1" x14ac:dyDescent="0.3">
      <c r="B115" s="166" t="s">
        <v>41</v>
      </c>
      <c r="C115" s="167">
        <f>IF(C111-C91=0,0,"Error")</f>
        <v>0</v>
      </c>
      <c r="D115" s="167">
        <f>IF(D111-D91=0,0,"Error")</f>
        <v>0</v>
      </c>
      <c r="E115" s="167">
        <f>IF(E111-E91=0,0,"Error")</f>
        <v>0</v>
      </c>
      <c r="F115" s="167">
        <f>IF(F111-F91=0,0,"Error")</f>
        <v>0</v>
      </c>
    </row>
    <row r="116" spans="2:6" ht="15.75" thickBot="1" x14ac:dyDescent="0.3">
      <c r="B116" s="218" t="s">
        <v>44</v>
      </c>
      <c r="C116" s="1007" t="s">
        <v>1195</v>
      </c>
      <c r="D116" s="1006"/>
      <c r="E116" s="1006"/>
      <c r="F116" s="1008"/>
    </row>
    <row r="117" spans="2:6" ht="15.75" thickBot="1" x14ac:dyDescent="0.3">
      <c r="B117" s="62" t="s">
        <v>17</v>
      </c>
      <c r="C117" s="1007" t="s">
        <v>1195</v>
      </c>
      <c r="D117" s="1006"/>
      <c r="E117" s="1006"/>
      <c r="F117" s="1008"/>
    </row>
    <row r="118" spans="2:6" ht="15.75" thickBot="1" x14ac:dyDescent="0.3">
      <c r="B118" s="62" t="s">
        <v>18</v>
      </c>
      <c r="C118" s="995" t="s">
        <v>1196</v>
      </c>
      <c r="D118" s="996"/>
      <c r="E118" s="996"/>
      <c r="F118" s="997"/>
    </row>
    <row r="119" spans="2:6" ht="15.75" thickBot="1" x14ac:dyDescent="0.3">
      <c r="B119" s="62" t="s">
        <v>19</v>
      </c>
      <c r="C119" s="161">
        <v>1</v>
      </c>
      <c r="D119" s="161">
        <v>0</v>
      </c>
      <c r="E119" s="161">
        <v>0</v>
      </c>
      <c r="F119" s="161">
        <v>0</v>
      </c>
    </row>
    <row r="120" spans="2:6" x14ac:dyDescent="0.25">
      <c r="B120" s="998"/>
      <c r="C120" s="63">
        <v>2018</v>
      </c>
      <c r="D120" s="63">
        <v>2019</v>
      </c>
      <c r="E120" s="63">
        <v>2020</v>
      </c>
      <c r="F120" s="63">
        <v>2021</v>
      </c>
    </row>
    <row r="121" spans="2:6" ht="15.75" thickBot="1" x14ac:dyDescent="0.3">
      <c r="B121" s="999"/>
      <c r="C121" s="64" t="s">
        <v>10</v>
      </c>
      <c r="D121" s="64" t="s">
        <v>11</v>
      </c>
      <c r="E121" s="64" t="s">
        <v>11</v>
      </c>
      <c r="F121" s="64" t="s">
        <v>11</v>
      </c>
    </row>
    <row r="122" spans="2:6" ht="15.75" thickBot="1" x14ac:dyDescent="0.3">
      <c r="B122" s="62" t="s">
        <v>20</v>
      </c>
      <c r="C122" s="161">
        <v>6939</v>
      </c>
      <c r="D122" s="161">
        <v>0</v>
      </c>
      <c r="E122" s="161">
        <v>0</v>
      </c>
      <c r="F122" s="161">
        <v>0</v>
      </c>
    </row>
    <row r="123" spans="2:6" ht="15.75" thickBot="1" x14ac:dyDescent="0.3">
      <c r="B123" s="62" t="s">
        <v>21</v>
      </c>
      <c r="C123" s="161">
        <f>C122/C119</f>
        <v>6939</v>
      </c>
      <c r="D123" s="161" t="e">
        <f>D122/D119</f>
        <v>#DIV/0!</v>
      </c>
      <c r="E123" s="161" t="e">
        <f>E122/E119</f>
        <v>#DIV/0!</v>
      </c>
      <c r="F123" s="161" t="e">
        <f>F122/F119</f>
        <v>#DIV/0!</v>
      </c>
    </row>
    <row r="124" spans="2:6" ht="15.75" thickBot="1" x14ac:dyDescent="0.3">
      <c r="B124" s="62" t="s">
        <v>22</v>
      </c>
      <c r="C124" s="636"/>
      <c r="D124" s="162">
        <f>D119/C119-1</f>
        <v>-1</v>
      </c>
      <c r="E124" s="162" t="e">
        <f>E119/D119-1</f>
        <v>#DIV/0!</v>
      </c>
      <c r="F124" s="162" t="e">
        <f>F119/E119-1</f>
        <v>#DIV/0!</v>
      </c>
    </row>
    <row r="125" spans="2:6" ht="15.75" thickBot="1" x14ac:dyDescent="0.3">
      <c r="B125" s="62" t="s">
        <v>24</v>
      </c>
      <c r="C125" s="636"/>
      <c r="D125" s="162">
        <f>D122/C122-1</f>
        <v>-1</v>
      </c>
      <c r="E125" s="162" t="e">
        <f t="shared" ref="E125:F126" si="7">E122/D122-1</f>
        <v>#DIV/0!</v>
      </c>
      <c r="F125" s="162" t="e">
        <f t="shared" si="7"/>
        <v>#DIV/0!</v>
      </c>
    </row>
    <row r="126" spans="2:6" ht="15.75" thickBot="1" x14ac:dyDescent="0.3">
      <c r="B126" s="62" t="s">
        <v>25</v>
      </c>
      <c r="C126" s="636"/>
      <c r="D126" s="162" t="e">
        <f>D123/C123-1</f>
        <v>#DIV/0!</v>
      </c>
      <c r="E126" s="162" t="e">
        <f t="shared" si="7"/>
        <v>#DIV/0!</v>
      </c>
      <c r="F126" s="162" t="e">
        <f t="shared" si="7"/>
        <v>#DIV/0!</v>
      </c>
    </row>
    <row r="127" spans="2:6" ht="15.75" thickBot="1" x14ac:dyDescent="0.3">
      <c r="B127" s="1000" t="s">
        <v>1211</v>
      </c>
      <c r="C127" s="1001"/>
      <c r="D127" s="1001"/>
      <c r="E127" s="1001"/>
      <c r="F127" s="1002"/>
    </row>
    <row r="128" spans="2:6" x14ac:dyDescent="0.25">
      <c r="B128" s="998"/>
      <c r="C128" s="63">
        <v>2018</v>
      </c>
      <c r="D128" s="63">
        <v>2019</v>
      </c>
      <c r="E128" s="63">
        <v>2020</v>
      </c>
      <c r="F128" s="63">
        <v>2021</v>
      </c>
    </row>
    <row r="129" spans="2:6" ht="15.75" thickBot="1" x14ac:dyDescent="0.3">
      <c r="B129" s="999"/>
      <c r="C129" s="64" t="s">
        <v>10</v>
      </c>
      <c r="D129" s="64" t="s">
        <v>11</v>
      </c>
      <c r="E129" s="64" t="s">
        <v>11</v>
      </c>
      <c r="F129" s="64" t="s">
        <v>11</v>
      </c>
    </row>
    <row r="130" spans="2:6" ht="15.75" thickBot="1" x14ac:dyDescent="0.3">
      <c r="B130" s="65" t="s">
        <v>26</v>
      </c>
      <c r="C130" s="164">
        <v>4478</v>
      </c>
      <c r="D130" s="164">
        <v>0</v>
      </c>
      <c r="E130" s="164">
        <v>0</v>
      </c>
      <c r="F130" s="164">
        <v>0</v>
      </c>
    </row>
    <row r="131" spans="2:6" ht="30.75" thickBot="1" x14ac:dyDescent="0.3">
      <c r="B131" s="181" t="s">
        <v>27</v>
      </c>
      <c r="C131" s="165"/>
      <c r="D131" s="182"/>
      <c r="E131" s="182"/>
      <c r="F131" s="182"/>
    </row>
    <row r="132" spans="2:6" ht="30.75" thickBot="1" x14ac:dyDescent="0.3">
      <c r="B132" s="181" t="s">
        <v>45</v>
      </c>
      <c r="C132" s="165"/>
      <c r="D132" s="182"/>
      <c r="E132" s="182"/>
      <c r="F132" s="182"/>
    </row>
    <row r="133" spans="2:6" ht="15.75" thickBot="1" x14ac:dyDescent="0.3">
      <c r="B133" s="65" t="s">
        <v>28</v>
      </c>
      <c r="C133" s="164">
        <v>873</v>
      </c>
      <c r="D133" s="164">
        <v>0</v>
      </c>
      <c r="E133" s="164">
        <v>0</v>
      </c>
      <c r="F133" s="164">
        <v>0</v>
      </c>
    </row>
    <row r="134" spans="2:6" ht="45.75" thickBot="1" x14ac:dyDescent="0.3">
      <c r="B134" s="181" t="s">
        <v>29</v>
      </c>
      <c r="C134" s="165"/>
      <c r="D134" s="164"/>
      <c r="E134" s="164"/>
      <c r="F134" s="164"/>
    </row>
    <row r="135" spans="2:6" ht="45.75" thickBot="1" x14ac:dyDescent="0.3">
      <c r="B135" s="181" t="s">
        <v>46</v>
      </c>
      <c r="C135" s="165"/>
      <c r="D135" s="164"/>
      <c r="E135" s="164"/>
      <c r="F135" s="164"/>
    </row>
    <row r="136" spans="2:6" ht="15.75" thickBot="1" x14ac:dyDescent="0.3">
      <c r="B136" s="65" t="s">
        <v>30</v>
      </c>
      <c r="C136" s="165">
        <v>1588</v>
      </c>
      <c r="D136" s="164">
        <v>0</v>
      </c>
      <c r="E136" s="164">
        <v>0</v>
      </c>
      <c r="F136" s="164">
        <v>0</v>
      </c>
    </row>
    <row r="137" spans="2:6" ht="30.75" thickBot="1" x14ac:dyDescent="0.3">
      <c r="B137" s="181" t="s">
        <v>31</v>
      </c>
      <c r="C137" s="165"/>
      <c r="D137" s="164"/>
      <c r="E137" s="164"/>
      <c r="F137" s="164"/>
    </row>
    <row r="138" spans="2:6" ht="30.75" thickBot="1" x14ac:dyDescent="0.3">
      <c r="B138" s="181" t="s">
        <v>47</v>
      </c>
      <c r="C138" s="165"/>
      <c r="D138" s="164"/>
      <c r="E138" s="164"/>
      <c r="F138" s="164"/>
    </row>
    <row r="139" spans="2:6" ht="15.75" thickBot="1" x14ac:dyDescent="0.3">
      <c r="B139" s="65" t="s">
        <v>38</v>
      </c>
      <c r="C139" s="165"/>
      <c r="D139" s="164"/>
      <c r="E139" s="164"/>
      <c r="F139" s="164"/>
    </row>
    <row r="140" spans="2:6" ht="30.75" thickBot="1" x14ac:dyDescent="0.3">
      <c r="B140" s="181" t="s">
        <v>39</v>
      </c>
      <c r="C140" s="165"/>
      <c r="D140" s="164"/>
      <c r="E140" s="164"/>
      <c r="F140" s="164"/>
    </row>
    <row r="141" spans="2:6" ht="30.75" thickBot="1" x14ac:dyDescent="0.3">
      <c r="B141" s="181" t="s">
        <v>51</v>
      </c>
      <c r="C141" s="165"/>
      <c r="D141" s="164"/>
      <c r="E141" s="164"/>
      <c r="F141" s="164"/>
    </row>
    <row r="142" spans="2:6" ht="15.75" thickBot="1" x14ac:dyDescent="0.3">
      <c r="B142" s="196" t="s">
        <v>74</v>
      </c>
      <c r="C142" s="165">
        <f>C139+C133+C130+C136</f>
        <v>6939</v>
      </c>
      <c r="D142" s="165">
        <f t="shared" ref="D142:F142" si="8">D139+D133+D130+D136</f>
        <v>0</v>
      </c>
      <c r="E142" s="165">
        <f t="shared" si="8"/>
        <v>0</v>
      </c>
      <c r="F142" s="165">
        <f t="shared" si="8"/>
        <v>0</v>
      </c>
    </row>
    <row r="143" spans="2:6" x14ac:dyDescent="0.25">
      <c r="B143" s="1015" t="s">
        <v>120</v>
      </c>
      <c r="C143" s="1037"/>
      <c r="D143" s="1037"/>
      <c r="E143" s="1037"/>
      <c r="F143" s="1038"/>
    </row>
    <row r="144" spans="2:6" x14ac:dyDescent="0.25">
      <c r="B144" s="1016"/>
      <c r="C144" s="1040"/>
      <c r="D144" s="1040"/>
      <c r="E144" s="1040"/>
      <c r="F144" s="1041"/>
    </row>
    <row r="145" spans="2:6" ht="15.75" thickBot="1" x14ac:dyDescent="0.3">
      <c r="B145" s="1017"/>
      <c r="C145" s="1043"/>
      <c r="D145" s="1043"/>
      <c r="E145" s="1043"/>
      <c r="F145" s="1044"/>
    </row>
    <row r="146" spans="2:6" ht="15.75" thickBot="1" x14ac:dyDescent="0.3">
      <c r="B146" s="166" t="s">
        <v>41</v>
      </c>
      <c r="C146" s="167">
        <f>IF(C142-C122=0,0,"Error")</f>
        <v>0</v>
      </c>
      <c r="D146" s="167">
        <f>IF(D142-D122=0,0,"Error")</f>
        <v>0</v>
      </c>
      <c r="E146" s="167">
        <f>IF(E142-E122=0,0,"Error")</f>
        <v>0</v>
      </c>
      <c r="F146" s="167">
        <f>IF(F142-F122=0,0,"Error")</f>
        <v>0</v>
      </c>
    </row>
    <row r="147" spans="2:6" ht="15.75" thickBot="1" x14ac:dyDescent="0.3">
      <c r="B147" s="705"/>
      <c r="C147" s="706"/>
      <c r="D147" s="706"/>
      <c r="E147" s="706"/>
      <c r="F147" s="530"/>
    </row>
    <row r="148" spans="2:6" ht="15.75" thickBot="1" x14ac:dyDescent="0.3">
      <c r="B148" s="989" t="s">
        <v>55</v>
      </c>
      <c r="C148" s="990"/>
      <c r="D148" s="990"/>
      <c r="E148" s="990"/>
      <c r="F148" s="991"/>
    </row>
    <row r="149" spans="2:6" ht="15.75" thickBot="1" x14ac:dyDescent="0.3">
      <c r="B149" s="989" t="s">
        <v>56</v>
      </c>
      <c r="C149" s="990"/>
      <c r="D149" s="990"/>
      <c r="E149" s="990"/>
      <c r="F149" s="991"/>
    </row>
    <row r="150" spans="2:6" ht="15.75" thickBot="1" x14ac:dyDescent="0.3">
      <c r="B150" s="67" t="s">
        <v>1197</v>
      </c>
      <c r="C150" s="1009" t="s">
        <v>130</v>
      </c>
      <c r="D150" s="1010"/>
      <c r="E150" s="1010"/>
      <c r="F150" s="1011"/>
    </row>
    <row r="151" spans="2:6" ht="15.75" thickBot="1" x14ac:dyDescent="0.3">
      <c r="B151" s="160" t="s">
        <v>16</v>
      </c>
      <c r="C151" s="1007" t="s">
        <v>1198</v>
      </c>
      <c r="D151" s="1006"/>
      <c r="E151" s="1006"/>
      <c r="F151" s="1008"/>
    </row>
    <row r="152" spans="2:6" ht="15.75" thickBot="1" x14ac:dyDescent="0.3">
      <c r="B152" s="62" t="s">
        <v>17</v>
      </c>
      <c r="C152" s="983" t="s">
        <v>1199</v>
      </c>
      <c r="D152" s="984"/>
      <c r="E152" s="984"/>
      <c r="F152" s="985"/>
    </row>
    <row r="153" spans="2:6" ht="15.75" thickBot="1" x14ac:dyDescent="0.3">
      <c r="B153" s="62" t="s">
        <v>18</v>
      </c>
      <c r="C153" s="995" t="s">
        <v>73</v>
      </c>
      <c r="D153" s="996"/>
      <c r="E153" s="996"/>
      <c r="F153" s="997"/>
    </row>
    <row r="154" spans="2:6" x14ac:dyDescent="0.25">
      <c r="B154" s="998"/>
      <c r="C154" s="63">
        <v>2018</v>
      </c>
      <c r="D154" s="63">
        <v>2019</v>
      </c>
      <c r="E154" s="63">
        <v>2020</v>
      </c>
      <c r="F154" s="63">
        <v>2021</v>
      </c>
    </row>
    <row r="155" spans="2:6" ht="15.75" thickBot="1" x14ac:dyDescent="0.3">
      <c r="B155" s="999"/>
      <c r="C155" s="64" t="s">
        <v>10</v>
      </c>
      <c r="D155" s="64" t="s">
        <v>11</v>
      </c>
      <c r="E155" s="64" t="s">
        <v>11</v>
      </c>
      <c r="F155" s="64" t="s">
        <v>11</v>
      </c>
    </row>
    <row r="156" spans="2:6" ht="15.75" thickBot="1" x14ac:dyDescent="0.3">
      <c r="B156" s="62" t="s">
        <v>19</v>
      </c>
      <c r="C156" s="161">
        <v>4</v>
      </c>
      <c r="D156" s="161">
        <v>6</v>
      </c>
      <c r="E156" s="161">
        <v>12</v>
      </c>
      <c r="F156" s="161">
        <v>12</v>
      </c>
    </row>
    <row r="157" spans="2:6" ht="15.75" thickBot="1" x14ac:dyDescent="0.3">
      <c r="B157" s="62" t="s">
        <v>20</v>
      </c>
      <c r="C157" s="161">
        <v>224</v>
      </c>
      <c r="D157" s="161">
        <v>3000</v>
      </c>
      <c r="E157" s="161">
        <v>5000</v>
      </c>
      <c r="F157" s="161">
        <v>5000</v>
      </c>
    </row>
    <row r="158" spans="2:6" ht="15.75" thickBot="1" x14ac:dyDescent="0.3">
      <c r="B158" s="62" t="s">
        <v>21</v>
      </c>
      <c r="C158" s="161">
        <f>C157/C156</f>
        <v>56</v>
      </c>
      <c r="D158" s="161">
        <f t="shared" ref="D158:F158" si="9">D157/D156</f>
        <v>500</v>
      </c>
      <c r="E158" s="161">
        <f t="shared" si="9"/>
        <v>416.66666666666669</v>
      </c>
      <c r="F158" s="161">
        <f t="shared" si="9"/>
        <v>416.66666666666669</v>
      </c>
    </row>
    <row r="159" spans="2:6" ht="15.75" thickBot="1" x14ac:dyDescent="0.3">
      <c r="B159" s="62" t="s">
        <v>22</v>
      </c>
      <c r="C159" s="636" t="s">
        <v>23</v>
      </c>
      <c r="D159" s="162">
        <f>D156/C156-1</f>
        <v>0.5</v>
      </c>
      <c r="E159" s="162">
        <f t="shared" ref="E159:F161" si="10">E156/D156-1</f>
        <v>1</v>
      </c>
      <c r="F159" s="162">
        <f t="shared" si="10"/>
        <v>0</v>
      </c>
    </row>
    <row r="160" spans="2:6" ht="15.75" thickBot="1" x14ac:dyDescent="0.3">
      <c r="B160" s="62" t="s">
        <v>24</v>
      </c>
      <c r="C160" s="636" t="s">
        <v>23</v>
      </c>
      <c r="D160" s="162">
        <f>D157/C157-1</f>
        <v>12.392857142857142</v>
      </c>
      <c r="E160" s="162">
        <f t="shared" si="10"/>
        <v>0.66666666666666674</v>
      </c>
      <c r="F160" s="162">
        <f t="shared" si="10"/>
        <v>0</v>
      </c>
    </row>
    <row r="161" spans="2:6" ht="15.75" thickBot="1" x14ac:dyDescent="0.3">
      <c r="B161" s="62" t="s">
        <v>25</v>
      </c>
      <c r="C161" s="636" t="s">
        <v>23</v>
      </c>
      <c r="D161" s="162">
        <f>D158/C158-1</f>
        <v>7.9285714285714288</v>
      </c>
      <c r="E161" s="162">
        <f t="shared" si="10"/>
        <v>-0.16666666666666663</v>
      </c>
      <c r="F161" s="162">
        <f t="shared" si="10"/>
        <v>0</v>
      </c>
    </row>
    <row r="162" spans="2:6" ht="15.75" thickBot="1" x14ac:dyDescent="0.3">
      <c r="B162" s="1000" t="s">
        <v>784</v>
      </c>
      <c r="C162" s="1001"/>
      <c r="D162" s="1001"/>
      <c r="E162" s="1001"/>
      <c r="F162" s="1002"/>
    </row>
    <row r="163" spans="2:6" x14ac:dyDescent="0.25">
      <c r="B163" s="998"/>
      <c r="C163" s="63">
        <v>2018</v>
      </c>
      <c r="D163" s="63">
        <v>2019</v>
      </c>
      <c r="E163" s="63">
        <v>2020</v>
      </c>
      <c r="F163" s="63">
        <v>2021</v>
      </c>
    </row>
    <row r="164" spans="2:6" ht="15.75" thickBot="1" x14ac:dyDescent="0.3">
      <c r="B164" s="999"/>
      <c r="C164" s="64" t="s">
        <v>10</v>
      </c>
      <c r="D164" s="64" t="s">
        <v>11</v>
      </c>
      <c r="E164" s="64" t="s">
        <v>11</v>
      </c>
      <c r="F164" s="64" t="s">
        <v>11</v>
      </c>
    </row>
    <row r="165" spans="2:6" ht="15.75" thickBot="1" x14ac:dyDescent="0.3">
      <c r="B165" s="65" t="s">
        <v>58</v>
      </c>
      <c r="C165" s="164"/>
      <c r="D165" s="164"/>
      <c r="E165" s="164"/>
      <c r="F165" s="164"/>
    </row>
    <row r="166" spans="2:6" ht="15.75" thickBot="1" x14ac:dyDescent="0.3">
      <c r="B166" s="65" t="s">
        <v>59</v>
      </c>
      <c r="C166" s="165">
        <v>224</v>
      </c>
      <c r="D166" s="164">
        <v>3000</v>
      </c>
      <c r="E166" s="164">
        <v>5000</v>
      </c>
      <c r="F166" s="164">
        <v>5000</v>
      </c>
    </row>
    <row r="167" spans="2:6" ht="15.75" thickBot="1" x14ac:dyDescent="0.3">
      <c r="B167" s="66" t="s">
        <v>40</v>
      </c>
      <c r="C167" s="165">
        <f>C166+C165</f>
        <v>224</v>
      </c>
      <c r="D167" s="165">
        <f t="shared" ref="D167:F167" si="11">D166+D165</f>
        <v>3000</v>
      </c>
      <c r="E167" s="165">
        <f t="shared" si="11"/>
        <v>5000</v>
      </c>
      <c r="F167" s="165">
        <f t="shared" si="11"/>
        <v>5000</v>
      </c>
    </row>
    <row r="168" spans="2:6" x14ac:dyDescent="0.25">
      <c r="B168" s="1015" t="s">
        <v>60</v>
      </c>
      <c r="C168" s="1077" t="s">
        <v>1200</v>
      </c>
      <c r="D168" s="1078"/>
      <c r="E168" s="1078"/>
      <c r="F168" s="1079"/>
    </row>
    <row r="169" spans="2:6" x14ac:dyDescent="0.25">
      <c r="B169" s="1016"/>
      <c r="C169" s="1080"/>
      <c r="D169" s="1081"/>
      <c r="E169" s="1081"/>
      <c r="F169" s="1082"/>
    </row>
    <row r="170" spans="2:6" ht="15.75" thickBot="1" x14ac:dyDescent="0.3">
      <c r="B170" s="1017"/>
      <c r="C170" s="1083"/>
      <c r="D170" s="1084"/>
      <c r="E170" s="1084"/>
      <c r="F170" s="1085"/>
    </row>
    <row r="171" spans="2:6" ht="15.75" thickBot="1" x14ac:dyDescent="0.3">
      <c r="B171" s="67" t="s">
        <v>1201</v>
      </c>
      <c r="C171" s="1009" t="s">
        <v>130</v>
      </c>
      <c r="D171" s="1010"/>
      <c r="E171" s="1010"/>
      <c r="F171" s="1011"/>
    </row>
    <row r="172" spans="2:6" ht="15.75" thickBot="1" x14ac:dyDescent="0.3">
      <c r="B172" s="160" t="s">
        <v>42</v>
      </c>
      <c r="C172" s="992" t="s">
        <v>1202</v>
      </c>
      <c r="D172" s="993"/>
      <c r="E172" s="993"/>
      <c r="F172" s="994"/>
    </row>
    <row r="173" spans="2:6" ht="15.75" thickBot="1" x14ac:dyDescent="0.3">
      <c r="B173" s="62" t="s">
        <v>17</v>
      </c>
      <c r="C173" s="983" t="s">
        <v>1203</v>
      </c>
      <c r="D173" s="984"/>
      <c r="E173" s="984"/>
      <c r="F173" s="985"/>
    </row>
    <row r="174" spans="2:6" ht="15.75" thickBot="1" x14ac:dyDescent="0.3">
      <c r="B174" s="62" t="s">
        <v>18</v>
      </c>
      <c r="C174" s="995" t="s">
        <v>1204</v>
      </c>
      <c r="D174" s="996"/>
      <c r="E174" s="996"/>
      <c r="F174" s="997"/>
    </row>
    <row r="175" spans="2:6" x14ac:dyDescent="0.25">
      <c r="B175" s="998"/>
      <c r="C175" s="63">
        <v>2018</v>
      </c>
      <c r="D175" s="63">
        <v>2019</v>
      </c>
      <c r="E175" s="63">
        <v>2020</v>
      </c>
      <c r="F175" s="63">
        <v>2021</v>
      </c>
    </row>
    <row r="176" spans="2:6" ht="15.75" thickBot="1" x14ac:dyDescent="0.3">
      <c r="B176" s="999"/>
      <c r="C176" s="64" t="s">
        <v>10</v>
      </c>
      <c r="D176" s="64" t="s">
        <v>11</v>
      </c>
      <c r="E176" s="64" t="s">
        <v>11</v>
      </c>
      <c r="F176" s="64" t="s">
        <v>11</v>
      </c>
    </row>
    <row r="177" spans="2:6" ht="15.75" thickBot="1" x14ac:dyDescent="0.3">
      <c r="B177" s="62" t="s">
        <v>19</v>
      </c>
      <c r="C177" s="161">
        <v>1</v>
      </c>
      <c r="D177" s="161"/>
      <c r="E177" s="161"/>
      <c r="F177" s="161"/>
    </row>
    <row r="178" spans="2:6" ht="15.75" thickBot="1" x14ac:dyDescent="0.3">
      <c r="B178" s="62" t="s">
        <v>20</v>
      </c>
      <c r="C178" s="161">
        <v>6954</v>
      </c>
      <c r="D178" s="161">
        <v>0</v>
      </c>
      <c r="E178" s="161">
        <v>0</v>
      </c>
      <c r="F178" s="161">
        <v>0</v>
      </c>
    </row>
    <row r="179" spans="2:6" ht="15.75" thickBot="1" x14ac:dyDescent="0.3">
      <c r="B179" s="62" t="s">
        <v>21</v>
      </c>
      <c r="C179" s="161">
        <f>C178/C177</f>
        <v>6954</v>
      </c>
      <c r="D179" s="161" t="e">
        <f t="shared" ref="D179:F179" si="12">D178/D177</f>
        <v>#DIV/0!</v>
      </c>
      <c r="E179" s="161" t="e">
        <f t="shared" si="12"/>
        <v>#DIV/0!</v>
      </c>
      <c r="F179" s="161" t="e">
        <f t="shared" si="12"/>
        <v>#DIV/0!</v>
      </c>
    </row>
    <row r="180" spans="2:6" ht="15.75" thickBot="1" x14ac:dyDescent="0.3">
      <c r="B180" s="62" t="s">
        <v>22</v>
      </c>
      <c r="C180" s="636" t="s">
        <v>23</v>
      </c>
      <c r="D180" s="162">
        <f>D177/C177-1</f>
        <v>-1</v>
      </c>
      <c r="E180" s="162" t="e">
        <f t="shared" ref="E180:F182" si="13">E177/D177-1</f>
        <v>#DIV/0!</v>
      </c>
      <c r="F180" s="162" t="e">
        <f t="shared" si="13"/>
        <v>#DIV/0!</v>
      </c>
    </row>
    <row r="181" spans="2:6" ht="15.75" thickBot="1" x14ac:dyDescent="0.3">
      <c r="B181" s="62" t="s">
        <v>24</v>
      </c>
      <c r="C181" s="636" t="s">
        <v>23</v>
      </c>
      <c r="D181" s="162">
        <f>D178/C178-1</f>
        <v>-1</v>
      </c>
      <c r="E181" s="162" t="e">
        <f t="shared" si="13"/>
        <v>#DIV/0!</v>
      </c>
      <c r="F181" s="162" t="e">
        <f t="shared" si="13"/>
        <v>#DIV/0!</v>
      </c>
    </row>
    <row r="182" spans="2:6" ht="15.75" thickBot="1" x14ac:dyDescent="0.3">
      <c r="B182" s="62" t="s">
        <v>25</v>
      </c>
      <c r="C182" s="636" t="s">
        <v>23</v>
      </c>
      <c r="D182" s="162" t="e">
        <f>D179/C179-1</f>
        <v>#DIV/0!</v>
      </c>
      <c r="E182" s="162" t="e">
        <f t="shared" si="13"/>
        <v>#DIV/0!</v>
      </c>
      <c r="F182" s="162" t="e">
        <f t="shared" si="13"/>
        <v>#DIV/0!</v>
      </c>
    </row>
    <row r="183" spans="2:6" ht="15.75" thickBot="1" x14ac:dyDescent="0.3">
      <c r="B183" s="1000" t="s">
        <v>786</v>
      </c>
      <c r="C183" s="1001"/>
      <c r="D183" s="1001"/>
      <c r="E183" s="1001"/>
      <c r="F183" s="1002"/>
    </row>
    <row r="184" spans="2:6" x14ac:dyDescent="0.25">
      <c r="B184" s="998"/>
      <c r="C184" s="63">
        <v>2018</v>
      </c>
      <c r="D184" s="63">
        <v>2019</v>
      </c>
      <c r="E184" s="63">
        <v>2020</v>
      </c>
      <c r="F184" s="63">
        <v>2021</v>
      </c>
    </row>
    <row r="185" spans="2:6" ht="15.75" thickBot="1" x14ac:dyDescent="0.3">
      <c r="B185" s="999"/>
      <c r="C185" s="64" t="s">
        <v>10</v>
      </c>
      <c r="D185" s="64" t="s">
        <v>11</v>
      </c>
      <c r="E185" s="64" t="s">
        <v>11</v>
      </c>
      <c r="F185" s="64" t="s">
        <v>11</v>
      </c>
    </row>
    <row r="186" spans="2:6" ht="15.75" thickBot="1" x14ac:dyDescent="0.3">
      <c r="B186" s="65" t="s">
        <v>58</v>
      </c>
      <c r="C186" s="164"/>
      <c r="D186" s="164"/>
      <c r="E186" s="164"/>
      <c r="F186" s="164"/>
    </row>
    <row r="187" spans="2:6" ht="15.75" thickBot="1" x14ac:dyDescent="0.3">
      <c r="B187" s="65" t="s">
        <v>59</v>
      </c>
      <c r="C187" s="165">
        <v>6954</v>
      </c>
      <c r="D187" s="164"/>
      <c r="E187" s="164"/>
      <c r="F187" s="164"/>
    </row>
    <row r="188" spans="2:6" ht="15.75" thickBot="1" x14ac:dyDescent="0.3">
      <c r="B188" s="66" t="s">
        <v>43</v>
      </c>
      <c r="C188" s="165">
        <f>C187+C186</f>
        <v>6954</v>
      </c>
      <c r="D188" s="165">
        <f t="shared" ref="D188:F188" si="14">D187+D186</f>
        <v>0</v>
      </c>
      <c r="E188" s="165">
        <f t="shared" si="14"/>
        <v>0</v>
      </c>
      <c r="F188" s="165">
        <f t="shared" si="14"/>
        <v>0</v>
      </c>
    </row>
    <row r="189" spans="2:6" x14ac:dyDescent="0.25">
      <c r="B189" s="1015" t="s">
        <v>62</v>
      </c>
      <c r="C189" s="1036"/>
      <c r="D189" s="1037"/>
      <c r="E189" s="1037"/>
      <c r="F189" s="1038"/>
    </row>
    <row r="190" spans="2:6" x14ac:dyDescent="0.25">
      <c r="B190" s="1016"/>
      <c r="C190" s="1039"/>
      <c r="D190" s="1040"/>
      <c r="E190" s="1040"/>
      <c r="F190" s="1041"/>
    </row>
    <row r="191" spans="2:6" ht="15.75" thickBot="1" x14ac:dyDescent="0.3">
      <c r="B191" s="1017"/>
      <c r="C191" s="1042"/>
      <c r="D191" s="1043"/>
      <c r="E191" s="1043"/>
      <c r="F191" s="1044"/>
    </row>
    <row r="192" spans="2:6" ht="15.75" thickBot="1" x14ac:dyDescent="0.3">
      <c r="B192" s="67" t="s">
        <v>1205</v>
      </c>
      <c r="C192" s="1009" t="s">
        <v>130</v>
      </c>
      <c r="D192" s="1010"/>
      <c r="E192" s="1010"/>
      <c r="F192" s="1011"/>
    </row>
    <row r="193" spans="2:6" ht="15.75" thickBot="1" x14ac:dyDescent="0.3">
      <c r="B193" s="160" t="s">
        <v>44</v>
      </c>
      <c r="C193" s="992" t="s">
        <v>1206</v>
      </c>
      <c r="D193" s="993"/>
      <c r="E193" s="993"/>
      <c r="F193" s="994"/>
    </row>
    <row r="194" spans="2:6" ht="15.75" thickBot="1" x14ac:dyDescent="0.3">
      <c r="B194" s="62" t="s">
        <v>17</v>
      </c>
      <c r="C194" s="983" t="s">
        <v>1207</v>
      </c>
      <c r="D194" s="984"/>
      <c r="E194" s="984"/>
      <c r="F194" s="985"/>
    </row>
    <row r="195" spans="2:6" ht="15.75" thickBot="1" x14ac:dyDescent="0.3">
      <c r="B195" s="62" t="s">
        <v>18</v>
      </c>
      <c r="C195" s="995" t="s">
        <v>1204</v>
      </c>
      <c r="D195" s="996"/>
      <c r="E195" s="996"/>
      <c r="F195" s="997"/>
    </row>
    <row r="196" spans="2:6" x14ac:dyDescent="0.25">
      <c r="B196" s="998"/>
      <c r="C196" s="63">
        <v>2018</v>
      </c>
      <c r="D196" s="63">
        <v>2019</v>
      </c>
      <c r="E196" s="63">
        <v>2020</v>
      </c>
      <c r="F196" s="63">
        <v>2021</v>
      </c>
    </row>
    <row r="197" spans="2:6" ht="15.75" thickBot="1" x14ac:dyDescent="0.3">
      <c r="B197" s="999"/>
      <c r="C197" s="64" t="s">
        <v>10</v>
      </c>
      <c r="D197" s="64" t="s">
        <v>11</v>
      </c>
      <c r="E197" s="64" t="s">
        <v>11</v>
      </c>
      <c r="F197" s="64" t="s">
        <v>11</v>
      </c>
    </row>
    <row r="198" spans="2:6" ht="15.75" thickBot="1" x14ac:dyDescent="0.3">
      <c r="B198" s="62" t="s">
        <v>19</v>
      </c>
      <c r="C198" s="161">
        <v>0</v>
      </c>
      <c r="D198" s="161"/>
      <c r="E198" s="161">
        <v>1</v>
      </c>
      <c r="F198" s="161"/>
    </row>
    <row r="199" spans="2:6" ht="15.75" thickBot="1" x14ac:dyDescent="0.3">
      <c r="B199" s="62" t="s">
        <v>20</v>
      </c>
      <c r="C199" s="161">
        <v>0</v>
      </c>
      <c r="D199" s="161">
        <v>0</v>
      </c>
      <c r="E199" s="161">
        <v>24000</v>
      </c>
      <c r="F199" s="161">
        <v>20000</v>
      </c>
    </row>
    <row r="200" spans="2:6" ht="15.75" thickBot="1" x14ac:dyDescent="0.3">
      <c r="B200" s="62" t="s">
        <v>21</v>
      </c>
      <c r="C200" s="161" t="e">
        <f>C199/C198</f>
        <v>#DIV/0!</v>
      </c>
      <c r="D200" s="161" t="e">
        <f t="shared" ref="D200:F200" si="15">D199/D198</f>
        <v>#DIV/0!</v>
      </c>
      <c r="E200" s="161">
        <f t="shared" si="15"/>
        <v>24000</v>
      </c>
      <c r="F200" s="161" t="e">
        <f t="shared" si="15"/>
        <v>#DIV/0!</v>
      </c>
    </row>
    <row r="201" spans="2:6" ht="15.75" thickBot="1" x14ac:dyDescent="0.3">
      <c r="B201" s="62" t="s">
        <v>22</v>
      </c>
      <c r="C201" s="636" t="s">
        <v>23</v>
      </c>
      <c r="D201" s="162" t="e">
        <f>D198/C198-1</f>
        <v>#DIV/0!</v>
      </c>
      <c r="E201" s="162" t="e">
        <f t="shared" ref="E201:F203" si="16">E198/D198-1</f>
        <v>#DIV/0!</v>
      </c>
      <c r="F201" s="162">
        <f t="shared" si="16"/>
        <v>-1</v>
      </c>
    </row>
    <row r="202" spans="2:6" ht="15.75" thickBot="1" x14ac:dyDescent="0.3">
      <c r="B202" s="62" t="s">
        <v>24</v>
      </c>
      <c r="C202" s="636" t="s">
        <v>23</v>
      </c>
      <c r="D202" s="162" t="e">
        <f>D199/C199-1</f>
        <v>#DIV/0!</v>
      </c>
      <c r="E202" s="162" t="e">
        <f t="shared" si="16"/>
        <v>#DIV/0!</v>
      </c>
      <c r="F202" s="162">
        <f t="shared" si="16"/>
        <v>-0.16666666666666663</v>
      </c>
    </row>
    <row r="203" spans="2:6" ht="15.75" thickBot="1" x14ac:dyDescent="0.3">
      <c r="B203" s="62" t="s">
        <v>25</v>
      </c>
      <c r="C203" s="636" t="s">
        <v>23</v>
      </c>
      <c r="D203" s="162" t="e">
        <f>D200/C200-1</f>
        <v>#DIV/0!</v>
      </c>
      <c r="E203" s="162" t="e">
        <f t="shared" si="16"/>
        <v>#DIV/0!</v>
      </c>
      <c r="F203" s="162" t="e">
        <f t="shared" si="16"/>
        <v>#DIV/0!</v>
      </c>
    </row>
    <row r="204" spans="2:6" ht="15.75" thickBot="1" x14ac:dyDescent="0.3">
      <c r="B204" s="1000" t="s">
        <v>786</v>
      </c>
      <c r="C204" s="1001"/>
      <c r="D204" s="1001"/>
      <c r="E204" s="1001"/>
      <c r="F204" s="1002"/>
    </row>
    <row r="205" spans="2:6" x14ac:dyDescent="0.25">
      <c r="B205" s="998"/>
      <c r="C205" s="63">
        <v>2018</v>
      </c>
      <c r="D205" s="63">
        <v>2019</v>
      </c>
      <c r="E205" s="63">
        <v>2020</v>
      </c>
      <c r="F205" s="63">
        <v>2021</v>
      </c>
    </row>
    <row r="206" spans="2:6" ht="15.75" thickBot="1" x14ac:dyDescent="0.3">
      <c r="B206" s="999"/>
      <c r="C206" s="64" t="s">
        <v>10</v>
      </c>
      <c r="D206" s="64" t="s">
        <v>11</v>
      </c>
      <c r="E206" s="64" t="s">
        <v>11</v>
      </c>
      <c r="F206" s="64" t="s">
        <v>11</v>
      </c>
    </row>
    <row r="207" spans="2:6" ht="15.75" thickBot="1" x14ac:dyDescent="0.3">
      <c r="B207" s="65" t="s">
        <v>58</v>
      </c>
      <c r="C207" s="164"/>
      <c r="D207" s="164"/>
      <c r="E207" s="164"/>
      <c r="F207" s="164"/>
    </row>
    <row r="208" spans="2:6" ht="15.75" thickBot="1" x14ac:dyDescent="0.3">
      <c r="B208" s="65" t="s">
        <v>59</v>
      </c>
      <c r="C208" s="165"/>
      <c r="D208" s="164"/>
      <c r="E208" s="164">
        <v>24000</v>
      </c>
      <c r="F208" s="164">
        <v>20000</v>
      </c>
    </row>
    <row r="209" spans="2:6" ht="15.75" thickBot="1" x14ac:dyDescent="0.3">
      <c r="B209" s="66" t="s">
        <v>52</v>
      </c>
      <c r="C209" s="165">
        <f>C208+C207</f>
        <v>0</v>
      </c>
      <c r="D209" s="165">
        <f t="shared" ref="D209:F209" si="17">D208+D207</f>
        <v>0</v>
      </c>
      <c r="E209" s="165">
        <f t="shared" si="17"/>
        <v>24000</v>
      </c>
      <c r="F209" s="165">
        <f t="shared" si="17"/>
        <v>20000</v>
      </c>
    </row>
    <row r="210" spans="2:6" x14ac:dyDescent="0.25">
      <c r="B210" s="1015" t="s">
        <v>62</v>
      </c>
      <c r="C210" s="1036"/>
      <c r="D210" s="1037"/>
      <c r="E210" s="1037"/>
      <c r="F210" s="1038"/>
    </row>
    <row r="211" spans="2:6" x14ac:dyDescent="0.25">
      <c r="B211" s="1016"/>
      <c r="C211" s="1039"/>
      <c r="D211" s="1040"/>
      <c r="E211" s="1040"/>
      <c r="F211" s="1041"/>
    </row>
    <row r="212" spans="2:6" ht="15.75" thickBot="1" x14ac:dyDescent="0.3">
      <c r="B212" s="1017"/>
      <c r="C212" s="1042"/>
      <c r="D212" s="1043"/>
      <c r="E212" s="1043"/>
      <c r="F212" s="1044"/>
    </row>
    <row r="213" spans="2:6" ht="15.75" thickBot="1" x14ac:dyDescent="0.3">
      <c r="B213" s="707"/>
      <c r="C213" s="638"/>
      <c r="D213" s="638"/>
      <c r="E213" s="638"/>
      <c r="F213" s="639"/>
    </row>
    <row r="214" spans="2:6" ht="15.75" thickBot="1" x14ac:dyDescent="0.3">
      <c r="B214" s="989" t="s">
        <v>63</v>
      </c>
      <c r="C214" s="990"/>
      <c r="D214" s="990"/>
      <c r="E214" s="990"/>
      <c r="F214" s="991"/>
    </row>
    <row r="215" spans="2:6" ht="15.75" thickBot="1" x14ac:dyDescent="0.3">
      <c r="B215" s="989" t="s">
        <v>64</v>
      </c>
      <c r="C215" s="990"/>
      <c r="D215" s="990"/>
      <c r="E215" s="990"/>
      <c r="F215" s="991"/>
    </row>
    <row r="216" spans="2:6" ht="15.75" thickBot="1" x14ac:dyDescent="0.3">
      <c r="B216" s="67" t="s">
        <v>1208</v>
      </c>
      <c r="C216" s="1009" t="s">
        <v>130</v>
      </c>
      <c r="D216" s="1010"/>
      <c r="E216" s="1010"/>
      <c r="F216" s="1011"/>
    </row>
    <row r="217" spans="2:6" ht="15.75" thickBot="1" x14ac:dyDescent="0.3">
      <c r="B217" s="160" t="s">
        <v>16</v>
      </c>
      <c r="C217" s="1007" t="s">
        <v>1190</v>
      </c>
      <c r="D217" s="1006"/>
      <c r="E217" s="1006"/>
      <c r="F217" s="1008"/>
    </row>
    <row r="218" spans="2:6" ht="15.75" thickBot="1" x14ac:dyDescent="0.3">
      <c r="B218" s="62" t="s">
        <v>17</v>
      </c>
      <c r="C218" s="1007" t="s">
        <v>1191</v>
      </c>
      <c r="D218" s="1006"/>
      <c r="E218" s="1006"/>
      <c r="F218" s="1008"/>
    </row>
    <row r="219" spans="2:6" ht="15.75" thickBot="1" x14ac:dyDescent="0.3">
      <c r="B219" s="62" t="s">
        <v>18</v>
      </c>
      <c r="C219" s="995" t="s">
        <v>73</v>
      </c>
      <c r="D219" s="996"/>
      <c r="E219" s="996"/>
      <c r="F219" s="997"/>
    </row>
    <row r="220" spans="2:6" x14ac:dyDescent="0.25">
      <c r="B220" s="998"/>
      <c r="C220" s="63">
        <v>2018</v>
      </c>
      <c r="D220" s="63">
        <v>2019</v>
      </c>
      <c r="E220" s="63">
        <v>2020</v>
      </c>
      <c r="F220" s="63">
        <v>2021</v>
      </c>
    </row>
    <row r="221" spans="2:6" ht="15.75" thickBot="1" x14ac:dyDescent="0.3">
      <c r="B221" s="999"/>
      <c r="C221" s="64" t="s">
        <v>10</v>
      </c>
      <c r="D221" s="64" t="s">
        <v>11</v>
      </c>
      <c r="E221" s="64" t="s">
        <v>11</v>
      </c>
      <c r="F221" s="64" t="s">
        <v>11</v>
      </c>
    </row>
    <row r="222" spans="2:6" ht="15.75" thickBot="1" x14ac:dyDescent="0.3">
      <c r="B222" s="62" t="s">
        <v>19</v>
      </c>
      <c r="C222" s="161">
        <v>600</v>
      </c>
      <c r="D222" s="161">
        <v>600</v>
      </c>
      <c r="E222" s="161"/>
      <c r="F222" s="161">
        <v>0</v>
      </c>
    </row>
    <row r="223" spans="2:6" ht="15.75" thickBot="1" x14ac:dyDescent="0.3">
      <c r="B223" s="62" t="s">
        <v>20</v>
      </c>
      <c r="C223" s="161">
        <v>30498</v>
      </c>
      <c r="D223" s="161">
        <v>40000</v>
      </c>
      <c r="E223" s="161"/>
      <c r="F223" s="161">
        <v>0</v>
      </c>
    </row>
    <row r="224" spans="2:6" ht="15.75" thickBot="1" x14ac:dyDescent="0.3">
      <c r="B224" s="62" t="s">
        <v>21</v>
      </c>
      <c r="C224" s="161">
        <f>C223/C222</f>
        <v>50.83</v>
      </c>
      <c r="D224" s="161">
        <f t="shared" ref="D224:F224" si="18">D223/D222</f>
        <v>66.666666666666671</v>
      </c>
      <c r="E224" s="161" t="e">
        <f t="shared" si="18"/>
        <v>#DIV/0!</v>
      </c>
      <c r="F224" s="161" t="e">
        <f t="shared" si="18"/>
        <v>#DIV/0!</v>
      </c>
    </row>
    <row r="225" spans="2:6" ht="15.75" thickBot="1" x14ac:dyDescent="0.3">
      <c r="B225" s="62" t="s">
        <v>22</v>
      </c>
      <c r="C225" s="636" t="s">
        <v>23</v>
      </c>
      <c r="D225" s="162">
        <f>D222/C222-1</f>
        <v>0</v>
      </c>
      <c r="E225" s="162">
        <f t="shared" ref="E225:F227" si="19">E222/D222-1</f>
        <v>-1</v>
      </c>
      <c r="F225" s="162" t="e">
        <f t="shared" si="19"/>
        <v>#DIV/0!</v>
      </c>
    </row>
    <row r="226" spans="2:6" ht="15.75" thickBot="1" x14ac:dyDescent="0.3">
      <c r="B226" s="62" t="s">
        <v>24</v>
      </c>
      <c r="C226" s="636" t="s">
        <v>23</v>
      </c>
      <c r="D226" s="162">
        <f>D223/C223-1</f>
        <v>0.31156141386320413</v>
      </c>
      <c r="E226" s="162">
        <f t="shared" si="19"/>
        <v>-1</v>
      </c>
      <c r="F226" s="162" t="e">
        <f t="shared" si="19"/>
        <v>#DIV/0!</v>
      </c>
    </row>
    <row r="227" spans="2:6" ht="15.75" thickBot="1" x14ac:dyDescent="0.3">
      <c r="B227" s="62" t="s">
        <v>25</v>
      </c>
      <c r="C227" s="636" t="s">
        <v>23</v>
      </c>
      <c r="D227" s="162">
        <f>D224/C224-1</f>
        <v>0.31156141386320435</v>
      </c>
      <c r="E227" s="162" t="e">
        <f t="shared" si="19"/>
        <v>#DIV/0!</v>
      </c>
      <c r="F227" s="162" t="e">
        <f t="shared" si="19"/>
        <v>#DIV/0!</v>
      </c>
    </row>
    <row r="228" spans="2:6" ht="15.75" thickBot="1" x14ac:dyDescent="0.3">
      <c r="B228" s="1000" t="s">
        <v>784</v>
      </c>
      <c r="C228" s="1001"/>
      <c r="D228" s="1001"/>
      <c r="E228" s="1001"/>
      <c r="F228" s="1002"/>
    </row>
    <row r="229" spans="2:6" x14ac:dyDescent="0.25">
      <c r="B229" s="998"/>
      <c r="C229" s="63">
        <v>2018</v>
      </c>
      <c r="D229" s="63">
        <v>2019</v>
      </c>
      <c r="E229" s="63">
        <v>2020</v>
      </c>
      <c r="F229" s="63">
        <v>2021</v>
      </c>
    </row>
    <row r="230" spans="2:6" ht="15.75" thickBot="1" x14ac:dyDescent="0.3">
      <c r="B230" s="999"/>
      <c r="C230" s="64" t="s">
        <v>10</v>
      </c>
      <c r="D230" s="64" t="s">
        <v>11</v>
      </c>
      <c r="E230" s="64" t="s">
        <v>11</v>
      </c>
      <c r="F230" s="64" t="s">
        <v>11</v>
      </c>
    </row>
    <row r="231" spans="2:6" ht="15.75" thickBot="1" x14ac:dyDescent="0.3">
      <c r="B231" s="65" t="s">
        <v>58</v>
      </c>
      <c r="C231" s="164"/>
      <c r="D231" s="164"/>
      <c r="E231" s="164"/>
      <c r="F231" s="164"/>
    </row>
    <row r="232" spans="2:6" ht="15.75" thickBot="1" x14ac:dyDescent="0.3">
      <c r="B232" s="65" t="s">
        <v>59</v>
      </c>
      <c r="C232" s="165">
        <v>30498</v>
      </c>
      <c r="D232" s="164">
        <v>40000</v>
      </c>
      <c r="E232" s="164"/>
      <c r="F232" s="164">
        <v>0</v>
      </c>
    </row>
    <row r="233" spans="2:6" ht="15.75" thickBot="1" x14ac:dyDescent="0.3">
      <c r="B233" s="66" t="s">
        <v>40</v>
      </c>
      <c r="C233" s="165">
        <f>C232+C231</f>
        <v>30498</v>
      </c>
      <c r="D233" s="165">
        <f>D232+D231</f>
        <v>40000</v>
      </c>
      <c r="E233" s="165">
        <f t="shared" ref="E233:F233" si="20">E232+E231</f>
        <v>0</v>
      </c>
      <c r="F233" s="165">
        <f t="shared" si="20"/>
        <v>0</v>
      </c>
    </row>
    <row r="234" spans="2:6" x14ac:dyDescent="0.25">
      <c r="B234" s="1015" t="s">
        <v>60</v>
      </c>
      <c r="C234" s="1036"/>
      <c r="D234" s="1037"/>
      <c r="E234" s="1037"/>
      <c r="F234" s="1038"/>
    </row>
    <row r="235" spans="2:6" x14ac:dyDescent="0.25">
      <c r="B235" s="1016"/>
      <c r="C235" s="1039"/>
      <c r="D235" s="1040"/>
      <c r="E235" s="1040"/>
      <c r="F235" s="1041"/>
    </row>
    <row r="236" spans="2:6" ht="15.75" thickBot="1" x14ac:dyDescent="0.3">
      <c r="B236" s="1017"/>
      <c r="C236" s="1042"/>
      <c r="D236" s="1043"/>
      <c r="E236" s="1043"/>
      <c r="F236" s="1044"/>
    </row>
    <row r="237" spans="2:6" ht="15.75" thickBot="1" x14ac:dyDescent="0.3">
      <c r="B237" s="67" t="s">
        <v>1209</v>
      </c>
      <c r="C237" s="1009" t="s">
        <v>130</v>
      </c>
      <c r="D237" s="1010"/>
      <c r="E237" s="1010"/>
      <c r="F237" s="1011"/>
    </row>
    <row r="238" spans="2:6" ht="15.75" thickBot="1" x14ac:dyDescent="0.3">
      <c r="B238" s="160" t="s">
        <v>42</v>
      </c>
      <c r="C238" s="992" t="s">
        <v>1192</v>
      </c>
      <c r="D238" s="993"/>
      <c r="E238" s="993"/>
      <c r="F238" s="994"/>
    </row>
    <row r="239" spans="2:6" ht="15.75" thickBot="1" x14ac:dyDescent="0.3">
      <c r="B239" s="62" t="s">
        <v>17</v>
      </c>
      <c r="C239" s="992" t="s">
        <v>1210</v>
      </c>
      <c r="D239" s="993"/>
      <c r="E239" s="993"/>
      <c r="F239" s="994"/>
    </row>
    <row r="240" spans="2:6" ht="15.75" thickBot="1" x14ac:dyDescent="0.3">
      <c r="B240" s="62" t="s">
        <v>18</v>
      </c>
      <c r="C240" s="995" t="s">
        <v>1194</v>
      </c>
      <c r="D240" s="996"/>
      <c r="E240" s="996"/>
      <c r="F240" s="997"/>
    </row>
    <row r="241" spans="2:6" x14ac:dyDescent="0.25">
      <c r="B241" s="998"/>
      <c r="C241" s="63">
        <v>2018</v>
      </c>
      <c r="D241" s="63">
        <v>2019</v>
      </c>
      <c r="E241" s="63">
        <v>2020</v>
      </c>
      <c r="F241" s="63">
        <v>2021</v>
      </c>
    </row>
    <row r="242" spans="2:6" ht="15.75" thickBot="1" x14ac:dyDescent="0.3">
      <c r="B242" s="999"/>
      <c r="C242" s="64" t="s">
        <v>10</v>
      </c>
      <c r="D242" s="64" t="s">
        <v>11</v>
      </c>
      <c r="E242" s="64" t="s">
        <v>11</v>
      </c>
      <c r="F242" s="64" t="s">
        <v>11</v>
      </c>
    </row>
    <row r="243" spans="2:6" ht="15.75" thickBot="1" x14ac:dyDescent="0.3">
      <c r="B243" s="62" t="s">
        <v>19</v>
      </c>
      <c r="C243" s="161">
        <v>1</v>
      </c>
      <c r="D243" s="161">
        <v>1</v>
      </c>
      <c r="E243" s="161">
        <v>1</v>
      </c>
      <c r="F243" s="161">
        <v>1</v>
      </c>
    </row>
    <row r="244" spans="2:6" ht="15.75" thickBot="1" x14ac:dyDescent="0.3">
      <c r="B244" s="62" t="s">
        <v>20</v>
      </c>
      <c r="C244" s="161">
        <v>9450</v>
      </c>
      <c r="D244" s="161">
        <v>9450</v>
      </c>
      <c r="E244" s="161">
        <v>9450</v>
      </c>
      <c r="F244" s="161">
        <v>9450</v>
      </c>
    </row>
    <row r="245" spans="2:6" ht="15.75" thickBot="1" x14ac:dyDescent="0.3">
      <c r="B245" s="152" t="s">
        <v>21</v>
      </c>
      <c r="C245" s="161">
        <f>C244/C243</f>
        <v>9450</v>
      </c>
      <c r="D245" s="161">
        <f t="shared" ref="D245:F245" si="21">D244/D243</f>
        <v>9450</v>
      </c>
      <c r="E245" s="161">
        <f t="shared" si="21"/>
        <v>9450</v>
      </c>
      <c r="F245" s="161">
        <f t="shared" si="21"/>
        <v>9450</v>
      </c>
    </row>
    <row r="246" spans="2:6" ht="15.75" thickBot="1" x14ac:dyDescent="0.3">
      <c r="B246" s="62" t="s">
        <v>22</v>
      </c>
      <c r="C246" s="636" t="s">
        <v>23</v>
      </c>
      <c r="D246" s="162">
        <f>D243/C243-1</f>
        <v>0</v>
      </c>
      <c r="E246" s="162">
        <f t="shared" ref="E246:F248" si="22">E243/D243-1</f>
        <v>0</v>
      </c>
      <c r="F246" s="162">
        <f t="shared" si="22"/>
        <v>0</v>
      </c>
    </row>
    <row r="247" spans="2:6" ht="15.75" thickBot="1" x14ac:dyDescent="0.3">
      <c r="B247" s="62" t="s">
        <v>24</v>
      </c>
      <c r="C247" s="636" t="s">
        <v>23</v>
      </c>
      <c r="D247" s="162">
        <f>D244/C244-1</f>
        <v>0</v>
      </c>
      <c r="E247" s="162">
        <f t="shared" si="22"/>
        <v>0</v>
      </c>
      <c r="F247" s="162">
        <f t="shared" si="22"/>
        <v>0</v>
      </c>
    </row>
    <row r="248" spans="2:6" ht="15.75" thickBot="1" x14ac:dyDescent="0.3">
      <c r="B248" s="62" t="s">
        <v>25</v>
      </c>
      <c r="C248" s="636" t="s">
        <v>23</v>
      </c>
      <c r="D248" s="162">
        <f>D245/C245-1</f>
        <v>0</v>
      </c>
      <c r="E248" s="162">
        <f t="shared" si="22"/>
        <v>0</v>
      </c>
      <c r="F248" s="162">
        <f t="shared" si="22"/>
        <v>0</v>
      </c>
    </row>
    <row r="249" spans="2:6" ht="15.75" thickBot="1" x14ac:dyDescent="0.3">
      <c r="B249" s="1000" t="s">
        <v>786</v>
      </c>
      <c r="C249" s="1001"/>
      <c r="D249" s="1001"/>
      <c r="E249" s="1001"/>
      <c r="F249" s="1002"/>
    </row>
    <row r="250" spans="2:6" x14ac:dyDescent="0.25">
      <c r="B250" s="998"/>
      <c r="C250" s="63">
        <v>2018</v>
      </c>
      <c r="D250" s="63">
        <v>2019</v>
      </c>
      <c r="E250" s="63">
        <v>2020</v>
      </c>
      <c r="F250" s="63">
        <v>2021</v>
      </c>
    </row>
    <row r="251" spans="2:6" ht="15.75" thickBot="1" x14ac:dyDescent="0.3">
      <c r="B251" s="999"/>
      <c r="C251" s="64" t="s">
        <v>10</v>
      </c>
      <c r="D251" s="64" t="s">
        <v>11</v>
      </c>
      <c r="E251" s="64" t="s">
        <v>11</v>
      </c>
      <c r="F251" s="64" t="s">
        <v>11</v>
      </c>
    </row>
    <row r="252" spans="2:6" ht="15.75" thickBot="1" x14ac:dyDescent="0.3">
      <c r="B252" s="65" t="s">
        <v>58</v>
      </c>
      <c r="C252" s="164">
        <v>9450</v>
      </c>
      <c r="D252" s="164">
        <v>9450</v>
      </c>
      <c r="E252" s="164">
        <v>9450</v>
      </c>
      <c r="F252" s="164">
        <v>9450</v>
      </c>
    </row>
    <row r="253" spans="2:6" ht="15.75" thickBot="1" x14ac:dyDescent="0.3">
      <c r="B253" s="65" t="s">
        <v>59</v>
      </c>
      <c r="C253" s="165"/>
      <c r="D253" s="164"/>
      <c r="E253" s="164"/>
      <c r="F253" s="164"/>
    </row>
    <row r="254" spans="2:6" ht="15.75" thickBot="1" x14ac:dyDescent="0.3">
      <c r="B254" s="66" t="s">
        <v>43</v>
      </c>
      <c r="C254" s="165">
        <f>C253+C252</f>
        <v>9450</v>
      </c>
      <c r="D254" s="165">
        <f t="shared" ref="D254:F254" si="23">D253+D252</f>
        <v>9450</v>
      </c>
      <c r="E254" s="165">
        <f t="shared" si="23"/>
        <v>9450</v>
      </c>
      <c r="F254" s="165">
        <f t="shared" si="23"/>
        <v>9450</v>
      </c>
    </row>
    <row r="255" spans="2:6" x14ac:dyDescent="0.25">
      <c r="B255" s="1015" t="s">
        <v>62</v>
      </c>
      <c r="C255" s="1036"/>
      <c r="D255" s="1037"/>
      <c r="E255" s="1037"/>
      <c r="F255" s="1038"/>
    </row>
    <row r="256" spans="2:6" x14ac:dyDescent="0.25">
      <c r="B256" s="1016"/>
      <c r="C256" s="1039"/>
      <c r="D256" s="1040"/>
      <c r="E256" s="1040"/>
      <c r="F256" s="1041"/>
    </row>
    <row r="257" spans="2:6" ht="15.75" thickBot="1" x14ac:dyDescent="0.3">
      <c r="B257" s="1017"/>
      <c r="C257" s="1042"/>
      <c r="D257" s="1043"/>
      <c r="E257" s="1043"/>
      <c r="F257" s="1044"/>
    </row>
    <row r="258" spans="2:6" ht="15.75" thickBot="1" x14ac:dyDescent="0.3">
      <c r="B258" s="67" t="s">
        <v>1197</v>
      </c>
      <c r="C258" s="1009" t="s">
        <v>130</v>
      </c>
      <c r="D258" s="1010"/>
      <c r="E258" s="1010"/>
      <c r="F258" s="1011"/>
    </row>
    <row r="259" spans="2:6" ht="15.75" thickBot="1" x14ac:dyDescent="0.3">
      <c r="B259" s="160" t="s">
        <v>42</v>
      </c>
      <c r="C259" s="1007" t="s">
        <v>1195</v>
      </c>
      <c r="D259" s="1006"/>
      <c r="E259" s="1006"/>
      <c r="F259" s="1008"/>
    </row>
    <row r="260" spans="2:6" ht="15.75" thickBot="1" x14ac:dyDescent="0.3">
      <c r="B260" s="62" t="s">
        <v>17</v>
      </c>
      <c r="C260" s="1007" t="s">
        <v>1195</v>
      </c>
      <c r="D260" s="1006"/>
      <c r="E260" s="1006"/>
      <c r="F260" s="1008"/>
    </row>
    <row r="261" spans="2:6" ht="15.75" thickBot="1" x14ac:dyDescent="0.3">
      <c r="B261" s="62" t="s">
        <v>18</v>
      </c>
      <c r="C261" s="995" t="s">
        <v>1196</v>
      </c>
      <c r="D261" s="996"/>
      <c r="E261" s="996"/>
      <c r="F261" s="997"/>
    </row>
    <row r="262" spans="2:6" x14ac:dyDescent="0.25">
      <c r="B262" s="998"/>
      <c r="C262" s="63">
        <v>2018</v>
      </c>
      <c r="D262" s="63">
        <v>2019</v>
      </c>
      <c r="E262" s="63">
        <v>2020</v>
      </c>
      <c r="F262" s="63">
        <v>2021</v>
      </c>
    </row>
    <row r="263" spans="2:6" ht="15.75" thickBot="1" x14ac:dyDescent="0.3">
      <c r="B263" s="999"/>
      <c r="C263" s="64" t="s">
        <v>10</v>
      </c>
      <c r="D263" s="64" t="s">
        <v>11</v>
      </c>
      <c r="E263" s="64" t="s">
        <v>11</v>
      </c>
      <c r="F263" s="64" t="s">
        <v>11</v>
      </c>
    </row>
    <row r="264" spans="2:6" ht="15.75" thickBot="1" x14ac:dyDescent="0.3">
      <c r="B264" s="62" t="s">
        <v>19</v>
      </c>
      <c r="C264" s="161">
        <v>1</v>
      </c>
      <c r="D264" s="161">
        <v>0</v>
      </c>
      <c r="E264" s="161">
        <v>0</v>
      </c>
      <c r="F264" s="161">
        <v>0</v>
      </c>
    </row>
    <row r="265" spans="2:6" ht="15.75" thickBot="1" x14ac:dyDescent="0.3">
      <c r="B265" s="62" t="s">
        <v>20</v>
      </c>
      <c r="C265" s="161">
        <v>7200</v>
      </c>
      <c r="D265" s="161">
        <v>0</v>
      </c>
      <c r="E265" s="161">
        <v>0</v>
      </c>
      <c r="F265" s="161">
        <v>0</v>
      </c>
    </row>
    <row r="266" spans="2:6" ht="15.75" thickBot="1" x14ac:dyDescent="0.3">
      <c r="B266" s="62" t="s">
        <v>21</v>
      </c>
      <c r="C266" s="161">
        <f>C265/C264</f>
        <v>7200</v>
      </c>
      <c r="D266" s="161" t="e">
        <f>D265/D264</f>
        <v>#DIV/0!</v>
      </c>
      <c r="E266" s="161" t="e">
        <f t="shared" ref="E266:F266" si="24">E265/E264</f>
        <v>#DIV/0!</v>
      </c>
      <c r="F266" s="161" t="e">
        <f t="shared" si="24"/>
        <v>#DIV/0!</v>
      </c>
    </row>
    <row r="267" spans="2:6" ht="15.75" thickBot="1" x14ac:dyDescent="0.3">
      <c r="B267" s="62" t="s">
        <v>22</v>
      </c>
      <c r="C267" s="636" t="s">
        <v>23</v>
      </c>
      <c r="D267" s="162">
        <f>D264/C264-1</f>
        <v>-1</v>
      </c>
      <c r="E267" s="162" t="e">
        <f t="shared" ref="E267:F269" si="25">E264/D264-1</f>
        <v>#DIV/0!</v>
      </c>
      <c r="F267" s="162" t="e">
        <f t="shared" si="25"/>
        <v>#DIV/0!</v>
      </c>
    </row>
    <row r="268" spans="2:6" ht="15.75" thickBot="1" x14ac:dyDescent="0.3">
      <c r="B268" s="62" t="s">
        <v>24</v>
      </c>
      <c r="C268" s="636" t="s">
        <v>23</v>
      </c>
      <c r="D268" s="162">
        <f>D265/C265-1</f>
        <v>-1</v>
      </c>
      <c r="E268" s="162" t="e">
        <f t="shared" si="25"/>
        <v>#DIV/0!</v>
      </c>
      <c r="F268" s="162" t="e">
        <f t="shared" si="25"/>
        <v>#DIV/0!</v>
      </c>
    </row>
    <row r="269" spans="2:6" ht="15.75" thickBot="1" x14ac:dyDescent="0.3">
      <c r="B269" s="62" t="s">
        <v>25</v>
      </c>
      <c r="C269" s="636" t="s">
        <v>23</v>
      </c>
      <c r="D269" s="162" t="e">
        <f>D266/C266-1</f>
        <v>#DIV/0!</v>
      </c>
      <c r="E269" s="162" t="e">
        <f t="shared" si="25"/>
        <v>#DIV/0!</v>
      </c>
      <c r="F269" s="162" t="e">
        <f t="shared" si="25"/>
        <v>#DIV/0!</v>
      </c>
    </row>
    <row r="270" spans="2:6" ht="15.75" thickBot="1" x14ac:dyDescent="0.3">
      <c r="B270" s="1000" t="s">
        <v>787</v>
      </c>
      <c r="C270" s="1001"/>
      <c r="D270" s="1001"/>
      <c r="E270" s="1001"/>
      <c r="F270" s="1002"/>
    </row>
    <row r="271" spans="2:6" x14ac:dyDescent="0.25">
      <c r="B271" s="998"/>
      <c r="C271" s="63">
        <v>2018</v>
      </c>
      <c r="D271" s="63">
        <v>2019</v>
      </c>
      <c r="E271" s="63">
        <v>2020</v>
      </c>
      <c r="F271" s="63">
        <v>2021</v>
      </c>
    </row>
    <row r="272" spans="2:6" ht="15.75" thickBot="1" x14ac:dyDescent="0.3">
      <c r="B272" s="999"/>
      <c r="C272" s="64" t="s">
        <v>10</v>
      </c>
      <c r="D272" s="64" t="s">
        <v>11</v>
      </c>
      <c r="E272" s="64" t="s">
        <v>11</v>
      </c>
      <c r="F272" s="64" t="s">
        <v>11</v>
      </c>
    </row>
    <row r="273" spans="2:6" ht="15.75" thickBot="1" x14ac:dyDescent="0.3">
      <c r="B273" s="65" t="s">
        <v>58</v>
      </c>
      <c r="C273" s="164">
        <v>7200</v>
      </c>
      <c r="D273" s="164"/>
      <c r="E273" s="164"/>
      <c r="F273" s="164"/>
    </row>
    <row r="274" spans="2:6" ht="15.75" thickBot="1" x14ac:dyDescent="0.3">
      <c r="B274" s="65" t="s">
        <v>59</v>
      </c>
      <c r="C274" s="165"/>
      <c r="D274" s="164"/>
      <c r="E274" s="164"/>
      <c r="F274" s="164"/>
    </row>
    <row r="275" spans="2:6" ht="15.75" thickBot="1" x14ac:dyDescent="0.3">
      <c r="B275" s="66" t="s">
        <v>52</v>
      </c>
      <c r="C275" s="165">
        <f>C274+C273</f>
        <v>7200</v>
      </c>
      <c r="D275" s="165">
        <f t="shared" ref="D275:F275" si="26">D274+D273</f>
        <v>0</v>
      </c>
      <c r="E275" s="165">
        <f t="shared" si="26"/>
        <v>0</v>
      </c>
      <c r="F275" s="165">
        <f t="shared" si="26"/>
        <v>0</v>
      </c>
    </row>
    <row r="276" spans="2:6" x14ac:dyDescent="0.25">
      <c r="B276" s="1015" t="s">
        <v>62</v>
      </c>
      <c r="C276" s="1036"/>
      <c r="D276" s="1037"/>
      <c r="E276" s="1037"/>
      <c r="F276" s="1038"/>
    </row>
    <row r="277" spans="2:6" x14ac:dyDescent="0.25">
      <c r="B277" s="1016"/>
      <c r="C277" s="1039"/>
      <c r="D277" s="1040"/>
      <c r="E277" s="1040"/>
      <c r="F277" s="1041"/>
    </row>
    <row r="278" spans="2:6" ht="15.75" thickBot="1" x14ac:dyDescent="0.3">
      <c r="B278" s="1017"/>
      <c r="C278" s="1042"/>
      <c r="D278" s="1043"/>
      <c r="E278" s="1043"/>
      <c r="F278" s="1044"/>
    </row>
    <row r="279" spans="2:6" ht="15.75" thickBot="1" x14ac:dyDescent="0.3">
      <c r="B279" s="175"/>
      <c r="C279" s="176"/>
      <c r="D279" s="176"/>
      <c r="E279" s="176"/>
      <c r="F279" s="176"/>
    </row>
    <row r="280" spans="2:6" ht="30.75" thickBot="1" x14ac:dyDescent="0.3">
      <c r="B280" s="158" t="s">
        <v>82</v>
      </c>
      <c r="C280" s="177">
        <f>C244+C223+C178+C157+C60+C29+C265+C91</f>
        <v>100582</v>
      </c>
      <c r="D280" s="177">
        <f t="shared" ref="D280" si="27">D244+D223+D178+D157+D60+D29+D265+D91</f>
        <v>91767</v>
      </c>
      <c r="E280" s="177">
        <f>E244+E223+E178+E157+E60+E29+E265+E91+E199</f>
        <v>66155</v>
      </c>
      <c r="F280" s="177">
        <f>F244+F223+F178+F157+F60+F29+F265+F91+F199</f>
        <v>43701</v>
      </c>
    </row>
    <row r="281" spans="2:6" ht="30.75" thickBot="1" x14ac:dyDescent="0.3">
      <c r="B281" s="158" t="s">
        <v>83</v>
      </c>
      <c r="C281" s="177">
        <f>C283+C285+C287+C289+C291+C293</f>
        <v>100582</v>
      </c>
      <c r="D281" s="177">
        <f t="shared" ref="D281:F281" si="28">D283+D285+D287+D289+D291+D293</f>
        <v>91767</v>
      </c>
      <c r="E281" s="177">
        <f>E283+E285+E287+E289+E291+E293</f>
        <v>66155</v>
      </c>
      <c r="F281" s="177">
        <f t="shared" si="28"/>
        <v>43701</v>
      </c>
    </row>
    <row r="282" spans="2:6" ht="30.75" thickBot="1" x14ac:dyDescent="0.3">
      <c r="B282" s="178" t="s">
        <v>84</v>
      </c>
      <c r="C282" s="179"/>
      <c r="D282" s="180">
        <f>D281/C281-1</f>
        <v>-8.7639935574953753E-2</v>
      </c>
      <c r="E282" s="180">
        <f t="shared" ref="E282:F282" si="29">E281/D281-1</f>
        <v>-0.27909815075135946</v>
      </c>
      <c r="F282" s="180">
        <f t="shared" si="29"/>
        <v>-0.33941501020331044</v>
      </c>
    </row>
    <row r="283" spans="2:6" ht="15.75" thickBot="1" x14ac:dyDescent="0.3">
      <c r="B283" s="65" t="s">
        <v>26</v>
      </c>
      <c r="C283" s="164">
        <f>C68+C37+C99</f>
        <v>29846</v>
      </c>
      <c r="D283" s="164">
        <f t="shared" ref="D283:F283" si="30">D68+D37+D99</f>
        <v>25369</v>
      </c>
      <c r="E283" s="164">
        <f t="shared" si="30"/>
        <v>15874</v>
      </c>
      <c r="F283" s="164">
        <f t="shared" si="30"/>
        <v>5969</v>
      </c>
    </row>
    <row r="284" spans="2:6" ht="15.75" thickBot="1" x14ac:dyDescent="0.3">
      <c r="B284" s="181" t="s">
        <v>85</v>
      </c>
      <c r="C284" s="165"/>
      <c r="D284" s="182">
        <f>D283/C283-1</f>
        <v>-0.15000335053273472</v>
      </c>
      <c r="E284" s="182">
        <f t="shared" ref="E284:F284" si="31">E283/D283-1</f>
        <v>-0.37427569080373679</v>
      </c>
      <c r="F284" s="182">
        <f t="shared" si="31"/>
        <v>-0.62397631346856497</v>
      </c>
    </row>
    <row r="285" spans="2:6" ht="15.75" thickBot="1" x14ac:dyDescent="0.3">
      <c r="B285" s="65" t="s">
        <v>28</v>
      </c>
      <c r="C285" s="164">
        <f>C71+C40+C102</f>
        <v>5823</v>
      </c>
      <c r="D285" s="164">
        <f t="shared" ref="D285:F285" si="32">D71+D40+D102</f>
        <v>4965</v>
      </c>
      <c r="E285" s="164">
        <f t="shared" si="32"/>
        <v>2513</v>
      </c>
      <c r="F285" s="164">
        <f t="shared" si="32"/>
        <v>1165</v>
      </c>
    </row>
    <row r="286" spans="2:6" ht="30.75" thickBot="1" x14ac:dyDescent="0.3">
      <c r="B286" s="181" t="s">
        <v>86</v>
      </c>
      <c r="C286" s="165"/>
      <c r="D286" s="182">
        <f>D285/C285-1</f>
        <v>-0.14734672849046881</v>
      </c>
      <c r="E286" s="182">
        <f t="shared" ref="E286:F286" si="33">E285/D285-1</f>
        <v>-0.49385699899295066</v>
      </c>
      <c r="F286" s="182">
        <f t="shared" si="33"/>
        <v>-0.53641066454436925</v>
      </c>
    </row>
    <row r="287" spans="2:6" ht="15.75" thickBot="1" x14ac:dyDescent="0.3">
      <c r="B287" s="65" t="s">
        <v>30</v>
      </c>
      <c r="C287" s="164">
        <f>C74+C43+C105</f>
        <v>10587</v>
      </c>
      <c r="D287" s="164">
        <f t="shared" ref="D287:F287" si="34">D74+D43+D105</f>
        <v>8983</v>
      </c>
      <c r="E287" s="164">
        <f t="shared" si="34"/>
        <v>9318</v>
      </c>
      <c r="F287" s="164">
        <f t="shared" si="34"/>
        <v>2117</v>
      </c>
    </row>
    <row r="288" spans="2:6" ht="15.75" thickBot="1" x14ac:dyDescent="0.3">
      <c r="B288" s="181" t="s">
        <v>87</v>
      </c>
      <c r="C288" s="165"/>
      <c r="D288" s="182">
        <f>D287/C287-1</f>
        <v>-0.15150656465476531</v>
      </c>
      <c r="E288" s="182">
        <f t="shared" ref="E288:F288" si="35">E287/D287-1</f>
        <v>3.7292663920739155E-2</v>
      </c>
      <c r="F288" s="182">
        <f t="shared" si="35"/>
        <v>-0.77280532303069327</v>
      </c>
    </row>
    <row r="289" spans="2:6" ht="15.75" thickBot="1" x14ac:dyDescent="0.3">
      <c r="B289" s="65" t="s">
        <v>38</v>
      </c>
      <c r="C289" s="164">
        <f>C77+C46+C108</f>
        <v>0</v>
      </c>
      <c r="D289" s="164">
        <f t="shared" ref="D289:F289" si="36">D77+D46+D108</f>
        <v>0</v>
      </c>
      <c r="E289" s="164">
        <f t="shared" si="36"/>
        <v>0</v>
      </c>
      <c r="F289" s="164">
        <f t="shared" si="36"/>
        <v>0</v>
      </c>
    </row>
    <row r="290" spans="2:6" ht="30.75" thickBot="1" x14ac:dyDescent="0.3">
      <c r="B290" s="181" t="s">
        <v>91</v>
      </c>
      <c r="C290" s="165"/>
      <c r="D290" s="182" t="e">
        <f>D289/C289-1</f>
        <v>#DIV/0!</v>
      </c>
      <c r="E290" s="182" t="e">
        <f t="shared" ref="E290:F290" si="37">E289/D289-1</f>
        <v>#DIV/0!</v>
      </c>
      <c r="F290" s="182" t="e">
        <f t="shared" si="37"/>
        <v>#DIV/0!</v>
      </c>
    </row>
    <row r="291" spans="2:6" ht="15.75" thickBot="1" x14ac:dyDescent="0.3">
      <c r="B291" s="65" t="s">
        <v>92</v>
      </c>
      <c r="C291" s="236">
        <f>C165+C186+C231+C252+C273+C207</f>
        <v>16650</v>
      </c>
      <c r="D291" s="164">
        <f t="shared" ref="D291:F291" si="38">D165+D186+D231+D252+D273+D207</f>
        <v>9450</v>
      </c>
      <c r="E291" s="164">
        <f t="shared" si="38"/>
        <v>9450</v>
      </c>
      <c r="F291" s="164">
        <f t="shared" si="38"/>
        <v>9450</v>
      </c>
    </row>
    <row r="292" spans="2:6" ht="15.75" thickBot="1" x14ac:dyDescent="0.3">
      <c r="B292" s="181" t="s">
        <v>93</v>
      </c>
      <c r="C292" s="165"/>
      <c r="D292" s="182">
        <f>D291/C291-1</f>
        <v>-0.43243243243243246</v>
      </c>
      <c r="E292" s="182">
        <f t="shared" ref="E292:F292" si="39">E291/D291-1</f>
        <v>0</v>
      </c>
      <c r="F292" s="182">
        <f t="shared" si="39"/>
        <v>0</v>
      </c>
    </row>
    <row r="293" spans="2:6" ht="15.75" thickBot="1" x14ac:dyDescent="0.3">
      <c r="B293" s="65" t="s">
        <v>94</v>
      </c>
      <c r="C293" s="236">
        <f>C166+C187+C232+C253+C274+C208</f>
        <v>37676</v>
      </c>
      <c r="D293" s="164">
        <f t="shared" ref="D293:F293" si="40">D166+D187+D232+D253+D274+D208</f>
        <v>43000</v>
      </c>
      <c r="E293" s="164">
        <f t="shared" si="40"/>
        <v>29000</v>
      </c>
      <c r="F293" s="164">
        <f t="shared" si="40"/>
        <v>25000</v>
      </c>
    </row>
    <row r="294" spans="2:6" ht="15.75" thickBot="1" x14ac:dyDescent="0.3">
      <c r="B294" s="181" t="s">
        <v>95</v>
      </c>
      <c r="C294" s="165"/>
      <c r="D294" s="182">
        <f>D293/C293-1</f>
        <v>0.14131011784690517</v>
      </c>
      <c r="E294" s="182">
        <f t="shared" ref="E294:F294" si="41">E293/D293-1</f>
        <v>-0.32558139534883723</v>
      </c>
      <c r="F294" s="182">
        <f t="shared" si="41"/>
        <v>-0.13793103448275867</v>
      </c>
    </row>
    <row r="295" spans="2:6" x14ac:dyDescent="0.25">
      <c r="B295" s="1220" t="s">
        <v>790</v>
      </c>
      <c r="C295" s="1223"/>
      <c r="D295" s="1223"/>
      <c r="E295" s="1223"/>
      <c r="F295" s="1224"/>
    </row>
    <row r="296" spans="2:6" x14ac:dyDescent="0.25">
      <c r="B296" s="1221"/>
      <c r="C296" s="1225"/>
      <c r="D296" s="1225"/>
      <c r="E296" s="1225"/>
      <c r="F296" s="1226"/>
    </row>
    <row r="297" spans="2:6" ht="15.75" thickBot="1" x14ac:dyDescent="0.3">
      <c r="B297" s="1222"/>
      <c r="C297" s="1227"/>
      <c r="D297" s="1227"/>
      <c r="E297" s="1227"/>
      <c r="F297" s="1228"/>
    </row>
    <row r="298" spans="2:6" ht="15.75" thickBot="1" x14ac:dyDescent="0.3">
      <c r="B298" s="166" t="s">
        <v>41</v>
      </c>
      <c r="C298" s="167">
        <f>IF(C281-C280=0,0,"Error")</f>
        <v>0</v>
      </c>
      <c r="D298" s="167">
        <f t="shared" ref="D298:F298" si="42">IF(D281-D280=0,0,"Error")</f>
        <v>0</v>
      </c>
      <c r="E298" s="167">
        <f t="shared" si="42"/>
        <v>0</v>
      </c>
      <c r="F298" s="167">
        <f t="shared" si="42"/>
        <v>0</v>
      </c>
    </row>
    <row r="299" spans="2:6" ht="30.75" thickBot="1" x14ac:dyDescent="0.3">
      <c r="B299" s="183" t="s">
        <v>96</v>
      </c>
      <c r="C299" s="164">
        <v>25</v>
      </c>
      <c r="D299" s="164">
        <v>40</v>
      </c>
      <c r="E299" s="164">
        <v>40</v>
      </c>
      <c r="F299" s="164">
        <v>40</v>
      </c>
    </row>
    <row r="300" spans="2:6" ht="30.75" thickBot="1" x14ac:dyDescent="0.3">
      <c r="B300" s="183" t="s">
        <v>97</v>
      </c>
      <c r="C300" s="164">
        <v>0</v>
      </c>
      <c r="D300" s="164">
        <v>0</v>
      </c>
      <c r="E300" s="164">
        <v>0</v>
      </c>
      <c r="F300" s="164">
        <v>0</v>
      </c>
    </row>
  </sheetData>
  <mergeCells count="104">
    <mergeCell ref="B262:B263"/>
    <mergeCell ref="B270:F270"/>
    <mergeCell ref="B271:B272"/>
    <mergeCell ref="B276:B278"/>
    <mergeCell ref="C276:F278"/>
    <mergeCell ref="B295:B297"/>
    <mergeCell ref="C295:F297"/>
    <mergeCell ref="B255:B257"/>
    <mergeCell ref="C255:F257"/>
    <mergeCell ref="C258:F258"/>
    <mergeCell ref="C259:F259"/>
    <mergeCell ref="C260:F260"/>
    <mergeCell ref="C261:F261"/>
    <mergeCell ref="C238:F238"/>
    <mergeCell ref="C239:F239"/>
    <mergeCell ref="C240:F240"/>
    <mergeCell ref="B241:B242"/>
    <mergeCell ref="B249:F249"/>
    <mergeCell ref="B250:B251"/>
    <mergeCell ref="B220:B221"/>
    <mergeCell ref="B228:F228"/>
    <mergeCell ref="B229:B230"/>
    <mergeCell ref="B234:B236"/>
    <mergeCell ref="C234:F236"/>
    <mergeCell ref="C237:F237"/>
    <mergeCell ref="B214:F214"/>
    <mergeCell ref="B215:F215"/>
    <mergeCell ref="C216:F216"/>
    <mergeCell ref="C217:F217"/>
    <mergeCell ref="C218:F218"/>
    <mergeCell ref="C219:F219"/>
    <mergeCell ref="C195:F195"/>
    <mergeCell ref="B196:B197"/>
    <mergeCell ref="B204:F204"/>
    <mergeCell ref="B205:B206"/>
    <mergeCell ref="B210:B212"/>
    <mergeCell ref="C210:F212"/>
    <mergeCell ref="B184:B185"/>
    <mergeCell ref="B189:B191"/>
    <mergeCell ref="C189:F191"/>
    <mergeCell ref="C192:F192"/>
    <mergeCell ref="C193:F193"/>
    <mergeCell ref="C194:F194"/>
    <mergeCell ref="C171:F171"/>
    <mergeCell ref="C172:F172"/>
    <mergeCell ref="C173:F173"/>
    <mergeCell ref="C174:F174"/>
    <mergeCell ref="B175:B176"/>
    <mergeCell ref="B183:F183"/>
    <mergeCell ref="C152:F152"/>
    <mergeCell ref="C153:F153"/>
    <mergeCell ref="B154:B155"/>
    <mergeCell ref="B162:F162"/>
    <mergeCell ref="B163:B164"/>
    <mergeCell ref="B168:B170"/>
    <mergeCell ref="C168:F170"/>
    <mergeCell ref="B143:B145"/>
    <mergeCell ref="C143:F145"/>
    <mergeCell ref="B148:F148"/>
    <mergeCell ref="B149:F149"/>
    <mergeCell ref="C150:F150"/>
    <mergeCell ref="C151:F151"/>
    <mergeCell ref="C116:F116"/>
    <mergeCell ref="C117:F117"/>
    <mergeCell ref="C118:F118"/>
    <mergeCell ref="B120:B121"/>
    <mergeCell ref="B127:F127"/>
    <mergeCell ref="B128:B129"/>
    <mergeCell ref="C86:F86"/>
    <mergeCell ref="C87:F87"/>
    <mergeCell ref="B89:B90"/>
    <mergeCell ref="B96:F96"/>
    <mergeCell ref="B97:B98"/>
    <mergeCell ref="B112:B114"/>
    <mergeCell ref="C112:F114"/>
    <mergeCell ref="B65:F65"/>
    <mergeCell ref="B66:B67"/>
    <mergeCell ref="B81:B83"/>
    <mergeCell ref="C81:F83"/>
    <mergeCell ref="C85:F85"/>
    <mergeCell ref="B35:B36"/>
    <mergeCell ref="B50:B52"/>
    <mergeCell ref="C50:F52"/>
    <mergeCell ref="C54:F54"/>
    <mergeCell ref="C55:F55"/>
    <mergeCell ref="C56:F56"/>
    <mergeCell ref="B26:B27"/>
    <mergeCell ref="B34:F34"/>
    <mergeCell ref="B9:F11"/>
    <mergeCell ref="C12:F12"/>
    <mergeCell ref="B13:B14"/>
    <mergeCell ref="C17:F17"/>
    <mergeCell ref="B18:F18"/>
    <mergeCell ref="B21:F21"/>
    <mergeCell ref="B58:B59"/>
    <mergeCell ref="B3:F3"/>
    <mergeCell ref="C5:F5"/>
    <mergeCell ref="C6:F6"/>
    <mergeCell ref="C7:F7"/>
    <mergeCell ref="B8:F8"/>
    <mergeCell ref="B22:F22"/>
    <mergeCell ref="C23:F23"/>
    <mergeCell ref="C24:F24"/>
    <mergeCell ref="C25:F2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437"/>
  <sheetViews>
    <sheetView topLeftCell="A415" workbookViewId="0">
      <selection activeCell="C435" sqref="C435"/>
    </sheetView>
  </sheetViews>
  <sheetFormatPr defaultRowHeight="15" x14ac:dyDescent="0.25"/>
  <cols>
    <col min="1" max="1" width="9.140625" style="152"/>
    <col min="2" max="2" width="44.28515625" style="152" customWidth="1"/>
    <col min="3" max="3" width="21.5703125" style="152" customWidth="1"/>
    <col min="4" max="6" width="21.42578125" style="152" customWidth="1"/>
    <col min="7" max="16384" width="9.140625" style="152"/>
  </cols>
  <sheetData>
    <row r="3" spans="2:6" x14ac:dyDescent="0.25">
      <c r="B3" s="762" t="s">
        <v>0</v>
      </c>
      <c r="C3" s="762"/>
      <c r="D3" s="762"/>
      <c r="E3" s="762"/>
      <c r="F3" s="762"/>
    </row>
    <row r="4" spans="2:6" ht="15.75" thickBot="1" x14ac:dyDescent="0.3"/>
    <row r="5" spans="2:6" ht="15.75" thickBot="1" x14ac:dyDescent="0.3">
      <c r="B5" s="153" t="s">
        <v>2</v>
      </c>
      <c r="C5" s="1599" t="s">
        <v>1212</v>
      </c>
      <c r="D5" s="1599"/>
      <c r="E5" s="1599"/>
      <c r="F5" s="1599"/>
    </row>
    <row r="6" spans="2:6" ht="15.75" thickBot="1" x14ac:dyDescent="0.3">
      <c r="B6" s="153" t="s">
        <v>3</v>
      </c>
      <c r="C6" s="1048" t="s">
        <v>1184</v>
      </c>
      <c r="D6" s="981"/>
      <c r="E6" s="981"/>
      <c r="F6" s="982"/>
    </row>
    <row r="7" spans="2:6" ht="15.75" thickBot="1" x14ac:dyDescent="0.3">
      <c r="B7" s="153" t="s">
        <v>5</v>
      </c>
      <c r="C7" s="983" t="s">
        <v>6</v>
      </c>
      <c r="D7" s="984"/>
      <c r="E7" s="984"/>
      <c r="F7" s="985"/>
    </row>
    <row r="8" spans="2:6" ht="15.75" thickBot="1" x14ac:dyDescent="0.3">
      <c r="B8" s="1600" t="s">
        <v>7</v>
      </c>
      <c r="C8" s="1601"/>
      <c r="D8" s="1601"/>
      <c r="E8" s="1601"/>
      <c r="F8" s="1602"/>
    </row>
    <row r="9" spans="2:6" x14ac:dyDescent="0.25">
      <c r="B9" s="1606" t="s">
        <v>1213</v>
      </c>
      <c r="C9" s="1607"/>
      <c r="D9" s="1607"/>
      <c r="E9" s="1607"/>
      <c r="F9" s="1608"/>
    </row>
    <row r="10" spans="2:6" x14ac:dyDescent="0.25">
      <c r="B10" s="1609"/>
      <c r="C10" s="1610"/>
      <c r="D10" s="1610"/>
      <c r="E10" s="1610"/>
      <c r="F10" s="1611"/>
    </row>
    <row r="11" spans="2:6" ht="15.75" thickBot="1" x14ac:dyDescent="0.3">
      <c r="B11" s="1612"/>
      <c r="C11" s="1613"/>
      <c r="D11" s="1613"/>
      <c r="E11" s="1613"/>
      <c r="F11" s="1614"/>
    </row>
    <row r="12" spans="2:6" ht="69.75" customHeight="1" thickBot="1" x14ac:dyDescent="0.3">
      <c r="B12" s="154" t="s">
        <v>8</v>
      </c>
      <c r="C12" s="1001" t="s">
        <v>1214</v>
      </c>
      <c r="D12" s="990"/>
      <c r="E12" s="990"/>
      <c r="F12" s="991"/>
    </row>
    <row r="13" spans="2:6" x14ac:dyDescent="0.25">
      <c r="B13" s="998" t="s">
        <v>102</v>
      </c>
      <c r="C13" s="640">
        <v>2018</v>
      </c>
      <c r="D13" s="640">
        <v>2019</v>
      </c>
      <c r="E13" s="640">
        <v>2020</v>
      </c>
      <c r="F13" s="640">
        <v>2021</v>
      </c>
    </row>
    <row r="14" spans="2:6" ht="15.75" thickBot="1" x14ac:dyDescent="0.3">
      <c r="B14" s="999"/>
      <c r="C14" s="641" t="s">
        <v>10</v>
      </c>
      <c r="D14" s="641" t="s">
        <v>11</v>
      </c>
      <c r="E14" s="641" t="s">
        <v>11</v>
      </c>
      <c r="F14" s="641" t="s">
        <v>11</v>
      </c>
    </row>
    <row r="15" spans="2:6" ht="15.75" thickBot="1" x14ac:dyDescent="0.3">
      <c r="B15" s="637"/>
      <c r="C15" s="157"/>
      <c r="D15" s="157"/>
      <c r="E15" s="157"/>
      <c r="F15" s="157"/>
    </row>
    <row r="16" spans="2:6" ht="15.75" thickBot="1" x14ac:dyDescent="0.3">
      <c r="B16" s="62"/>
      <c r="C16" s="157"/>
      <c r="D16" s="157"/>
      <c r="E16" s="157"/>
      <c r="F16" s="157"/>
    </row>
    <row r="17" spans="2:6" ht="15.75" thickBot="1" x14ac:dyDescent="0.3">
      <c r="B17" s="62"/>
      <c r="C17" s="157"/>
      <c r="D17" s="157"/>
      <c r="E17" s="157"/>
      <c r="F17" s="157"/>
    </row>
    <row r="18" spans="2:6" ht="63" customHeight="1" thickBot="1" x14ac:dyDescent="0.3">
      <c r="B18" s="218" t="s">
        <v>12</v>
      </c>
      <c r="C18" s="1000" t="s">
        <v>1215</v>
      </c>
      <c r="D18" s="1001"/>
      <c r="E18" s="1001"/>
      <c r="F18" s="1002"/>
    </row>
    <row r="19" spans="2:6" ht="15.75" thickBot="1" x14ac:dyDescent="0.3">
      <c r="B19" s="1615" t="s">
        <v>14</v>
      </c>
      <c r="C19" s="1616"/>
      <c r="D19" s="1616"/>
      <c r="E19" s="1616"/>
      <c r="F19" s="1617"/>
    </row>
    <row r="20" spans="2:6" ht="15.75" thickBot="1" x14ac:dyDescent="0.3">
      <c r="B20" s="989" t="s">
        <v>104</v>
      </c>
      <c r="C20" s="990"/>
      <c r="D20" s="990"/>
      <c r="E20" s="990"/>
      <c r="F20" s="991"/>
    </row>
    <row r="21" spans="2:6" ht="39.75" customHeight="1" thickBot="1" x14ac:dyDescent="0.3">
      <c r="B21" s="160" t="s">
        <v>16</v>
      </c>
      <c r="C21" s="1000" t="s">
        <v>1216</v>
      </c>
      <c r="D21" s="1001"/>
      <c r="E21" s="1001"/>
      <c r="F21" s="1002"/>
    </row>
    <row r="22" spans="2:6" ht="37.5" customHeight="1" thickBot="1" x14ac:dyDescent="0.3">
      <c r="B22" s="62" t="s">
        <v>17</v>
      </c>
      <c r="C22" s="1027" t="s">
        <v>1217</v>
      </c>
      <c r="D22" s="1028"/>
      <c r="E22" s="1028"/>
      <c r="F22" s="1029"/>
    </row>
    <row r="23" spans="2:6" ht="15.75" thickBot="1" x14ac:dyDescent="0.3">
      <c r="B23" s="62" t="s">
        <v>18</v>
      </c>
      <c r="C23" s="1603" t="s">
        <v>1218</v>
      </c>
      <c r="D23" s="1604"/>
      <c r="E23" s="1604"/>
      <c r="F23" s="1605"/>
    </row>
    <row r="24" spans="2:6" x14ac:dyDescent="0.25">
      <c r="B24" s="998"/>
      <c r="C24" s="63">
        <v>2018</v>
      </c>
      <c r="D24" s="63">
        <v>2019</v>
      </c>
      <c r="E24" s="63">
        <v>2020</v>
      </c>
      <c r="F24" s="63">
        <v>2021</v>
      </c>
    </row>
    <row r="25" spans="2:6" ht="15.75" thickBot="1" x14ac:dyDescent="0.3">
      <c r="B25" s="999"/>
      <c r="C25" s="64" t="s">
        <v>10</v>
      </c>
      <c r="D25" s="64" t="s">
        <v>11</v>
      </c>
      <c r="E25" s="64" t="s">
        <v>11</v>
      </c>
      <c r="F25" s="64" t="s">
        <v>11</v>
      </c>
    </row>
    <row r="26" spans="2:6" ht="15.75" thickBot="1" x14ac:dyDescent="0.3">
      <c r="B26" s="62" t="s">
        <v>19</v>
      </c>
      <c r="C26" s="161">
        <v>5</v>
      </c>
      <c r="D26" s="161">
        <v>6</v>
      </c>
      <c r="E26" s="161">
        <v>7</v>
      </c>
      <c r="F26" s="161">
        <v>7</v>
      </c>
    </row>
    <row r="27" spans="2:6" ht="15.75" thickBot="1" x14ac:dyDescent="0.3">
      <c r="B27" s="62" t="s">
        <v>20</v>
      </c>
      <c r="C27" s="161">
        <f>C42</f>
        <v>4930</v>
      </c>
      <c r="D27" s="161">
        <f t="shared" ref="D27:F27" si="0">D42</f>
        <v>4980</v>
      </c>
      <c r="E27" s="161">
        <f t="shared" si="0"/>
        <v>5180</v>
      </c>
      <c r="F27" s="161">
        <f t="shared" si="0"/>
        <v>5300</v>
      </c>
    </row>
    <row r="28" spans="2:6" ht="15.75" thickBot="1" x14ac:dyDescent="0.3">
      <c r="B28" s="62" t="s">
        <v>21</v>
      </c>
      <c r="C28" s="161">
        <f>C27/C26</f>
        <v>986</v>
      </c>
      <c r="D28" s="161">
        <f t="shared" ref="D28:F28" si="1">D27/D26</f>
        <v>830</v>
      </c>
      <c r="E28" s="161">
        <f t="shared" si="1"/>
        <v>740</v>
      </c>
      <c r="F28" s="161">
        <f t="shared" si="1"/>
        <v>757.14285714285711</v>
      </c>
    </row>
    <row r="29" spans="2:6" ht="15.75" thickBot="1" x14ac:dyDescent="0.3">
      <c r="B29" s="62" t="s">
        <v>22</v>
      </c>
      <c r="C29" s="636" t="s">
        <v>23</v>
      </c>
      <c r="D29" s="162">
        <f>D26/C26-1</f>
        <v>0.19999999999999996</v>
      </c>
      <c r="E29" s="162">
        <f t="shared" ref="E29:F31" si="2">E26/D26-1</f>
        <v>0.16666666666666674</v>
      </c>
      <c r="F29" s="162">
        <f t="shared" si="2"/>
        <v>0</v>
      </c>
    </row>
    <row r="30" spans="2:6" ht="15.75" thickBot="1" x14ac:dyDescent="0.3">
      <c r="B30" s="62" t="s">
        <v>24</v>
      </c>
      <c r="C30" s="636" t="s">
        <v>23</v>
      </c>
      <c r="D30" s="162">
        <f>D27/C27-1</f>
        <v>1.0141987829614507E-2</v>
      </c>
      <c r="E30" s="162">
        <f t="shared" si="2"/>
        <v>4.016064257028118E-2</v>
      </c>
      <c r="F30" s="162">
        <f t="shared" si="2"/>
        <v>2.316602316602312E-2</v>
      </c>
    </row>
    <row r="31" spans="2:6" ht="15.75" thickBot="1" x14ac:dyDescent="0.3">
      <c r="B31" s="62" t="s">
        <v>25</v>
      </c>
      <c r="C31" s="636" t="s">
        <v>23</v>
      </c>
      <c r="D31" s="162">
        <f>D28/C28-1</f>
        <v>-0.1582150101419878</v>
      </c>
      <c r="E31" s="162">
        <f t="shared" si="2"/>
        <v>-0.10843373493975905</v>
      </c>
      <c r="F31" s="162">
        <f t="shared" si="2"/>
        <v>2.316602316602312E-2</v>
      </c>
    </row>
    <row r="32" spans="2:6" ht="15.75" thickBot="1" x14ac:dyDescent="0.3">
      <c r="B32" s="1000" t="s">
        <v>784</v>
      </c>
      <c r="C32" s="1001"/>
      <c r="D32" s="1001"/>
      <c r="E32" s="1001"/>
      <c r="F32" s="1002"/>
    </row>
    <row r="33" spans="2:6" x14ac:dyDescent="0.25">
      <c r="B33" s="998"/>
      <c r="C33" s="63">
        <v>2018</v>
      </c>
      <c r="D33" s="63">
        <v>2019</v>
      </c>
      <c r="E33" s="63">
        <v>2020</v>
      </c>
      <c r="F33" s="63">
        <v>2021</v>
      </c>
    </row>
    <row r="34" spans="2:6" ht="15.75" thickBot="1" x14ac:dyDescent="0.3">
      <c r="B34" s="999"/>
      <c r="C34" s="64" t="s">
        <v>10</v>
      </c>
      <c r="D34" s="64" t="s">
        <v>11</v>
      </c>
      <c r="E34" s="64" t="s">
        <v>11</v>
      </c>
      <c r="F34" s="64" t="s">
        <v>11</v>
      </c>
    </row>
    <row r="35" spans="2:6" ht="15.75" thickBot="1" x14ac:dyDescent="0.3">
      <c r="B35" s="65" t="s">
        <v>26</v>
      </c>
      <c r="C35" s="164">
        <v>3000</v>
      </c>
      <c r="D35" s="164">
        <v>3000</v>
      </c>
      <c r="E35" s="164">
        <v>3000</v>
      </c>
      <c r="F35" s="164">
        <v>3000</v>
      </c>
    </row>
    <row r="36" spans="2:6" ht="15.75" thickBot="1" x14ac:dyDescent="0.3">
      <c r="B36" s="65" t="s">
        <v>28</v>
      </c>
      <c r="C36" s="164">
        <v>480</v>
      </c>
      <c r="D36" s="164">
        <v>480</v>
      </c>
      <c r="E36" s="164">
        <v>480</v>
      </c>
      <c r="F36" s="164">
        <v>500</v>
      </c>
    </row>
    <row r="37" spans="2:6" ht="15.75" thickBot="1" x14ac:dyDescent="0.3">
      <c r="B37" s="65" t="s">
        <v>30</v>
      </c>
      <c r="C37" s="165">
        <v>1450</v>
      </c>
      <c r="D37" s="164">
        <v>1500</v>
      </c>
      <c r="E37" s="164">
        <v>1700</v>
      </c>
      <c r="F37" s="164">
        <v>1800</v>
      </c>
    </row>
    <row r="38" spans="2:6" ht="15.75" thickBot="1" x14ac:dyDescent="0.3">
      <c r="B38" s="65" t="s">
        <v>32</v>
      </c>
      <c r="C38" s="165">
        <v>0</v>
      </c>
      <c r="D38" s="164">
        <v>0</v>
      </c>
      <c r="E38" s="164">
        <v>0</v>
      </c>
      <c r="F38" s="164">
        <v>0</v>
      </c>
    </row>
    <row r="39" spans="2:6" ht="15.75" thickBot="1" x14ac:dyDescent="0.3">
      <c r="B39" s="65" t="s">
        <v>34</v>
      </c>
      <c r="C39" s="165">
        <v>0</v>
      </c>
      <c r="D39" s="164">
        <v>0</v>
      </c>
      <c r="E39" s="164">
        <v>0</v>
      </c>
      <c r="F39" s="164">
        <v>0</v>
      </c>
    </row>
    <row r="40" spans="2:6" ht="15.75" thickBot="1" x14ac:dyDescent="0.3">
      <c r="B40" s="65" t="s">
        <v>36</v>
      </c>
      <c r="C40" s="165">
        <v>0</v>
      </c>
      <c r="D40" s="164">
        <v>0</v>
      </c>
      <c r="E40" s="164">
        <v>0</v>
      </c>
      <c r="F40" s="164">
        <v>0</v>
      </c>
    </row>
    <row r="41" spans="2:6" ht="15.75" thickBot="1" x14ac:dyDescent="0.3">
      <c r="B41" s="65" t="s">
        <v>38</v>
      </c>
      <c r="C41" s="165">
        <v>0</v>
      </c>
      <c r="D41" s="164">
        <v>0</v>
      </c>
      <c r="E41" s="164">
        <v>0</v>
      </c>
      <c r="F41" s="164">
        <v>0</v>
      </c>
    </row>
    <row r="42" spans="2:6" ht="15.75" thickBot="1" x14ac:dyDescent="0.3">
      <c r="B42" s="66" t="s">
        <v>40</v>
      </c>
      <c r="C42" s="165">
        <f>C41+C40+C39+C38+C37+C36+C35</f>
        <v>4930</v>
      </c>
      <c r="D42" s="165">
        <f>D41+D40+D39+D38+D37+D36+D35</f>
        <v>4980</v>
      </c>
      <c r="E42" s="165">
        <f>E41+E40+E39+E38+E37+E36+E35</f>
        <v>5180</v>
      </c>
      <c r="F42" s="165">
        <f>F41+F40+F39+F38+F37+F36+F35</f>
        <v>5300</v>
      </c>
    </row>
    <row r="43" spans="2:6" ht="15.75" thickBot="1" x14ac:dyDescent="0.3">
      <c r="B43" s="166" t="s">
        <v>41</v>
      </c>
      <c r="C43" s="167">
        <f>IF(C42-C27=0,0,"Error")</f>
        <v>0</v>
      </c>
      <c r="D43" s="167">
        <f>IF(D42-D27=0,0,"Error")</f>
        <v>0</v>
      </c>
      <c r="E43" s="167">
        <f>IF(E42-E27=0,0,"Error")</f>
        <v>0</v>
      </c>
      <c r="F43" s="167">
        <f>IF(F42-F27=0,0,"Error")</f>
        <v>0</v>
      </c>
    </row>
    <row r="44" spans="2:6" ht="15.75" thickBot="1" x14ac:dyDescent="0.3">
      <c r="B44" s="708" t="s">
        <v>67</v>
      </c>
      <c r="C44" s="989" t="s">
        <v>1219</v>
      </c>
      <c r="D44" s="990"/>
      <c r="E44" s="990"/>
      <c r="F44" s="991"/>
    </row>
    <row r="45" spans="2:6" ht="15.75" thickBot="1" x14ac:dyDescent="0.3">
      <c r="B45" s="983" t="s">
        <v>68</v>
      </c>
      <c r="C45" s="984"/>
      <c r="D45" s="984"/>
      <c r="E45" s="984"/>
      <c r="F45" s="985"/>
    </row>
    <row r="46" spans="2:6" ht="30.75" thickBot="1" x14ac:dyDescent="0.3">
      <c r="B46" s="709" t="s">
        <v>1220</v>
      </c>
      <c r="C46" s="157" t="s">
        <v>116</v>
      </c>
      <c r="D46" s="157" t="s">
        <v>117</v>
      </c>
      <c r="E46" s="157" t="s">
        <v>117</v>
      </c>
      <c r="F46" s="157" t="s">
        <v>117</v>
      </c>
    </row>
    <row r="47" spans="2:6" ht="15.75" thickBot="1" x14ac:dyDescent="0.3">
      <c r="B47" s="1027" t="s">
        <v>69</v>
      </c>
      <c r="C47" s="1028"/>
      <c r="D47" s="1028"/>
      <c r="E47" s="1028"/>
      <c r="F47" s="1029"/>
    </row>
    <row r="48" spans="2:6" ht="15.75" thickBot="1" x14ac:dyDescent="0.3">
      <c r="B48" s="1030" t="s">
        <v>70</v>
      </c>
      <c r="C48" s="1031"/>
      <c r="D48" s="1031"/>
      <c r="E48" s="1031"/>
      <c r="F48" s="1032"/>
    </row>
    <row r="49" spans="2:6" x14ac:dyDescent="0.25">
      <c r="B49" s="998"/>
      <c r="C49" s="63">
        <v>2018</v>
      </c>
      <c r="D49" s="63">
        <v>2019</v>
      </c>
      <c r="E49" s="63">
        <v>2020</v>
      </c>
      <c r="F49" s="63">
        <v>2021</v>
      </c>
    </row>
    <row r="50" spans="2:6" ht="15.75" thickBot="1" x14ac:dyDescent="0.3">
      <c r="B50" s="999"/>
      <c r="C50" s="64" t="s">
        <v>10</v>
      </c>
      <c r="D50" s="64" t="s">
        <v>11</v>
      </c>
      <c r="E50" s="64" t="s">
        <v>11</v>
      </c>
      <c r="F50" s="64" t="s">
        <v>11</v>
      </c>
    </row>
    <row r="51" spans="2:6" ht="15.75" thickBot="1" x14ac:dyDescent="0.3">
      <c r="B51" s="160" t="s">
        <v>16</v>
      </c>
      <c r="C51" s="1027" t="s">
        <v>1221</v>
      </c>
      <c r="D51" s="1028"/>
      <c r="E51" s="1028"/>
      <c r="F51" s="1029"/>
    </row>
    <row r="52" spans="2:6" ht="39.75" customHeight="1" thickBot="1" x14ac:dyDescent="0.3">
      <c r="B52" s="62" t="s">
        <v>17</v>
      </c>
      <c r="C52" s="1618" t="s">
        <v>1222</v>
      </c>
      <c r="D52" s="1619"/>
      <c r="E52" s="1619"/>
      <c r="F52" s="1620"/>
    </row>
    <row r="53" spans="2:6" ht="15.75" thickBot="1" x14ac:dyDescent="0.3">
      <c r="B53" s="62" t="s">
        <v>18</v>
      </c>
      <c r="C53" s="1603" t="s">
        <v>1223</v>
      </c>
      <c r="D53" s="1604"/>
      <c r="E53" s="1604"/>
      <c r="F53" s="1605"/>
    </row>
    <row r="54" spans="2:6" x14ac:dyDescent="0.25">
      <c r="B54" s="998"/>
      <c r="C54" s="63">
        <v>2018</v>
      </c>
      <c r="D54" s="63">
        <v>2019</v>
      </c>
      <c r="E54" s="63">
        <v>2020</v>
      </c>
      <c r="F54" s="63">
        <v>2021</v>
      </c>
    </row>
    <row r="55" spans="2:6" ht="15.75" thickBot="1" x14ac:dyDescent="0.3">
      <c r="B55" s="999"/>
      <c r="C55" s="64" t="s">
        <v>10</v>
      </c>
      <c r="D55" s="64" t="s">
        <v>11</v>
      </c>
      <c r="E55" s="64" t="s">
        <v>11</v>
      </c>
      <c r="F55" s="64" t="s">
        <v>11</v>
      </c>
    </row>
    <row r="56" spans="2:6" ht="15.75" thickBot="1" x14ac:dyDescent="0.3">
      <c r="B56" s="62" t="s">
        <v>19</v>
      </c>
      <c r="C56" s="161">
        <v>40</v>
      </c>
      <c r="D56" s="203">
        <v>45</v>
      </c>
      <c r="E56" s="203">
        <v>50</v>
      </c>
      <c r="F56" s="203">
        <v>55</v>
      </c>
    </row>
    <row r="57" spans="2:6" ht="15.75" thickBot="1" x14ac:dyDescent="0.3">
      <c r="B57" s="62" t="s">
        <v>20</v>
      </c>
      <c r="C57" s="161">
        <f>C74</f>
        <v>11491</v>
      </c>
      <c r="D57" s="161">
        <f t="shared" ref="D57:F57" si="3">D74</f>
        <v>11650</v>
      </c>
      <c r="E57" s="161">
        <f t="shared" si="3"/>
        <v>12100</v>
      </c>
      <c r="F57" s="161">
        <f t="shared" si="3"/>
        <v>12700</v>
      </c>
    </row>
    <row r="58" spans="2:6" ht="15.75" thickBot="1" x14ac:dyDescent="0.3">
      <c r="B58" s="62" t="s">
        <v>21</v>
      </c>
      <c r="C58" s="161">
        <f>C57/C56</f>
        <v>287.27499999999998</v>
      </c>
      <c r="D58" s="161">
        <f t="shared" ref="D58:F58" si="4">D57/D56</f>
        <v>258.88888888888891</v>
      </c>
      <c r="E58" s="161">
        <f t="shared" si="4"/>
        <v>242</v>
      </c>
      <c r="F58" s="161">
        <f t="shared" si="4"/>
        <v>230.90909090909091</v>
      </c>
    </row>
    <row r="59" spans="2:6" ht="15.75" thickBot="1" x14ac:dyDescent="0.3">
      <c r="B59" s="62" t="s">
        <v>22</v>
      </c>
      <c r="C59" s="636"/>
      <c r="D59" s="162">
        <f>D56/C56-1</f>
        <v>0.125</v>
      </c>
      <c r="E59" s="162">
        <f t="shared" ref="E59:F61" si="5">E56/D56-1</f>
        <v>0.11111111111111116</v>
      </c>
      <c r="F59" s="162">
        <f t="shared" si="5"/>
        <v>0.10000000000000009</v>
      </c>
    </row>
    <row r="60" spans="2:6" ht="15.75" thickBot="1" x14ac:dyDescent="0.3">
      <c r="B60" s="62" t="s">
        <v>24</v>
      </c>
      <c r="C60" s="636"/>
      <c r="D60" s="162">
        <f>D57/C57-1</f>
        <v>1.3836915847184716E-2</v>
      </c>
      <c r="E60" s="162">
        <f t="shared" si="5"/>
        <v>3.8626609442059978E-2</v>
      </c>
      <c r="F60" s="162">
        <f t="shared" si="5"/>
        <v>4.9586776859504189E-2</v>
      </c>
    </row>
    <row r="61" spans="2:6" ht="15.75" thickBot="1" x14ac:dyDescent="0.3">
      <c r="B61" s="62" t="s">
        <v>25</v>
      </c>
      <c r="C61" s="636"/>
      <c r="D61" s="162">
        <f>D58/C58-1</f>
        <v>-9.8811630358057845E-2</v>
      </c>
      <c r="E61" s="162">
        <f t="shared" si="5"/>
        <v>-6.5236051502146064E-2</v>
      </c>
      <c r="F61" s="162">
        <f t="shared" si="5"/>
        <v>-4.5830202854996283E-2</v>
      </c>
    </row>
    <row r="62" spans="2:6" x14ac:dyDescent="0.25">
      <c r="B62" s="998"/>
      <c r="C62" s="63">
        <v>2018</v>
      </c>
      <c r="D62" s="63">
        <v>2019</v>
      </c>
      <c r="E62" s="63">
        <v>2020</v>
      </c>
      <c r="F62" s="63">
        <v>2021</v>
      </c>
    </row>
    <row r="63" spans="2:6" ht="15.75" thickBot="1" x14ac:dyDescent="0.3">
      <c r="B63" s="999"/>
      <c r="C63" s="64" t="s">
        <v>10</v>
      </c>
      <c r="D63" s="64" t="s">
        <v>11</v>
      </c>
      <c r="E63" s="64" t="s">
        <v>11</v>
      </c>
      <c r="F63" s="64" t="s">
        <v>11</v>
      </c>
    </row>
    <row r="64" spans="2:6" ht="15.75" thickBot="1" x14ac:dyDescent="0.3">
      <c r="B64" s="1000" t="s">
        <v>794</v>
      </c>
      <c r="C64" s="1001"/>
      <c r="D64" s="1001"/>
      <c r="E64" s="1001"/>
      <c r="F64" s="1002"/>
    </row>
    <row r="65" spans="2:6" x14ac:dyDescent="0.25">
      <c r="B65" s="998"/>
      <c r="C65" s="63">
        <v>2018</v>
      </c>
      <c r="D65" s="63">
        <v>2019</v>
      </c>
      <c r="E65" s="63">
        <v>2020</v>
      </c>
      <c r="F65" s="63">
        <v>2021</v>
      </c>
    </row>
    <row r="66" spans="2:6" ht="15.75" thickBot="1" x14ac:dyDescent="0.3">
      <c r="B66" s="999"/>
      <c r="C66" s="64" t="s">
        <v>10</v>
      </c>
      <c r="D66" s="64" t="s">
        <v>11</v>
      </c>
      <c r="E66" s="64" t="s">
        <v>11</v>
      </c>
      <c r="F66" s="64" t="s">
        <v>11</v>
      </c>
    </row>
    <row r="67" spans="2:6" ht="15.75" thickBot="1" x14ac:dyDescent="0.3">
      <c r="B67" s="65" t="s">
        <v>26</v>
      </c>
      <c r="C67" s="164">
        <v>8961</v>
      </c>
      <c r="D67" s="164">
        <v>9000</v>
      </c>
      <c r="E67" s="164">
        <v>9200</v>
      </c>
      <c r="F67" s="164">
        <v>9500</v>
      </c>
    </row>
    <row r="68" spans="2:6" ht="15.75" thickBot="1" x14ac:dyDescent="0.3">
      <c r="B68" s="65" t="s">
        <v>28</v>
      </c>
      <c r="C68" s="164">
        <v>1130</v>
      </c>
      <c r="D68" s="164">
        <v>1150</v>
      </c>
      <c r="E68" s="164">
        <v>1300</v>
      </c>
      <c r="F68" s="164">
        <v>1500</v>
      </c>
    </row>
    <row r="69" spans="2:6" ht="15.75" thickBot="1" x14ac:dyDescent="0.3">
      <c r="B69" s="65" t="s">
        <v>30</v>
      </c>
      <c r="C69" s="165">
        <v>1400</v>
      </c>
      <c r="D69" s="164">
        <v>1500</v>
      </c>
      <c r="E69" s="164">
        <v>1600</v>
      </c>
      <c r="F69" s="164">
        <v>1700</v>
      </c>
    </row>
    <row r="70" spans="2:6" ht="15.75" thickBot="1" x14ac:dyDescent="0.3">
      <c r="B70" s="65" t="s">
        <v>32</v>
      </c>
      <c r="C70" s="165">
        <v>0</v>
      </c>
      <c r="D70" s="164">
        <v>0</v>
      </c>
      <c r="E70" s="164">
        <v>0</v>
      </c>
      <c r="F70" s="164">
        <v>0</v>
      </c>
    </row>
    <row r="71" spans="2:6" ht="15.75" thickBot="1" x14ac:dyDescent="0.3">
      <c r="B71" s="65" t="s">
        <v>34</v>
      </c>
      <c r="C71" s="165">
        <v>0</v>
      </c>
      <c r="D71" s="164">
        <v>0</v>
      </c>
      <c r="E71" s="164">
        <v>0</v>
      </c>
      <c r="F71" s="164">
        <v>0</v>
      </c>
    </row>
    <row r="72" spans="2:6" ht="15.75" thickBot="1" x14ac:dyDescent="0.3">
      <c r="B72" s="65" t="s">
        <v>36</v>
      </c>
      <c r="C72" s="165">
        <v>0</v>
      </c>
      <c r="D72" s="164">
        <v>0</v>
      </c>
      <c r="E72" s="164">
        <v>0</v>
      </c>
      <c r="F72" s="164">
        <v>0</v>
      </c>
    </row>
    <row r="73" spans="2:6" ht="15.75" thickBot="1" x14ac:dyDescent="0.3">
      <c r="B73" s="65" t="s">
        <v>38</v>
      </c>
      <c r="C73" s="165">
        <v>0</v>
      </c>
      <c r="D73" s="164">
        <v>0</v>
      </c>
      <c r="E73" s="164">
        <v>0</v>
      </c>
      <c r="F73" s="164">
        <v>0</v>
      </c>
    </row>
    <row r="74" spans="2:6" ht="30.75" thickBot="1" x14ac:dyDescent="0.3">
      <c r="B74" s="204" t="s">
        <v>71</v>
      </c>
      <c r="C74" s="205">
        <f>C73+C72+C71+C70+C69+C68+C67</f>
        <v>11491</v>
      </c>
      <c r="D74" s="205">
        <f>D73+D72+D71+D70+D69+D68+D67</f>
        <v>11650</v>
      </c>
      <c r="E74" s="205">
        <f>E73+E72+E71+E70+E69+E68+E67</f>
        <v>12100</v>
      </c>
      <c r="F74" s="205">
        <f>F73+F72+F71+F70+F69+F68+F67</f>
        <v>12700</v>
      </c>
    </row>
    <row r="75" spans="2:6" ht="15.75" thickBot="1" x14ac:dyDescent="0.3">
      <c r="B75" s="166" t="s">
        <v>41</v>
      </c>
      <c r="C75" s="167">
        <f>IF(C74-C57=0,0,"Error")</f>
        <v>0</v>
      </c>
      <c r="D75" s="167">
        <f>IF(D74-D57=0,0,"Error")</f>
        <v>0</v>
      </c>
      <c r="E75" s="167">
        <f>IF(E74-E57=0,0,"Error")</f>
        <v>0</v>
      </c>
      <c r="F75" s="167">
        <f>IF(F74-F57=0,0,"Error")</f>
        <v>0</v>
      </c>
    </row>
    <row r="76" spans="2:6" ht="52.5" customHeight="1" thickBot="1" x14ac:dyDescent="0.3">
      <c r="B76" s="195" t="s">
        <v>824</v>
      </c>
      <c r="C76" s="1000" t="s">
        <v>1224</v>
      </c>
      <c r="D76" s="1001"/>
      <c r="E76" s="1001"/>
      <c r="F76" s="1002"/>
    </row>
    <row r="77" spans="2:6" ht="33.75" customHeight="1" thickBot="1" x14ac:dyDescent="0.3">
      <c r="B77" s="62" t="s">
        <v>17</v>
      </c>
      <c r="C77" s="1027" t="s">
        <v>1225</v>
      </c>
      <c r="D77" s="1028"/>
      <c r="E77" s="1028"/>
      <c r="F77" s="1029"/>
    </row>
    <row r="78" spans="2:6" ht="15.75" thickBot="1" x14ac:dyDescent="0.3">
      <c r="B78" s="62" t="s">
        <v>18</v>
      </c>
      <c r="C78" s="1603" t="s">
        <v>1223</v>
      </c>
      <c r="D78" s="1604"/>
      <c r="E78" s="1604"/>
      <c r="F78" s="1605"/>
    </row>
    <row r="79" spans="2:6" x14ac:dyDescent="0.25">
      <c r="B79" s="998"/>
      <c r="C79" s="63">
        <v>2018</v>
      </c>
      <c r="D79" s="63">
        <v>2019</v>
      </c>
      <c r="E79" s="63">
        <v>2020</v>
      </c>
      <c r="F79" s="63">
        <v>2021</v>
      </c>
    </row>
    <row r="80" spans="2:6" ht="15.75" thickBot="1" x14ac:dyDescent="0.3">
      <c r="B80" s="999"/>
      <c r="C80" s="64" t="s">
        <v>10</v>
      </c>
      <c r="D80" s="64" t="s">
        <v>11</v>
      </c>
      <c r="E80" s="64" t="s">
        <v>11</v>
      </c>
      <c r="F80" s="64" t="s">
        <v>11</v>
      </c>
    </row>
    <row r="81" spans="2:6" ht="15.75" thickBot="1" x14ac:dyDescent="0.3">
      <c r="B81" s="62" t="s">
        <v>19</v>
      </c>
      <c r="C81" s="161">
        <v>16</v>
      </c>
      <c r="D81" s="161">
        <v>20</v>
      </c>
      <c r="E81" s="161">
        <v>25</v>
      </c>
      <c r="F81" s="161">
        <v>25</v>
      </c>
    </row>
    <row r="82" spans="2:6" ht="15.75" thickBot="1" x14ac:dyDescent="0.3">
      <c r="B82" s="62" t="s">
        <v>20</v>
      </c>
      <c r="C82" s="161">
        <f>C97</f>
        <v>3320</v>
      </c>
      <c r="D82" s="161">
        <f t="shared" ref="D82:F82" si="6">D97</f>
        <v>3530</v>
      </c>
      <c r="E82" s="161">
        <f t="shared" si="6"/>
        <v>3940</v>
      </c>
      <c r="F82" s="161">
        <f t="shared" si="6"/>
        <v>4700</v>
      </c>
    </row>
    <row r="83" spans="2:6" ht="15.75" thickBot="1" x14ac:dyDescent="0.3">
      <c r="B83" s="62" t="s">
        <v>21</v>
      </c>
      <c r="C83" s="161">
        <f>C82/C81</f>
        <v>207.5</v>
      </c>
      <c r="D83" s="161">
        <f t="shared" ref="D83:F83" si="7">D82/D81</f>
        <v>176.5</v>
      </c>
      <c r="E83" s="161">
        <f t="shared" si="7"/>
        <v>157.6</v>
      </c>
      <c r="F83" s="161">
        <f t="shared" si="7"/>
        <v>188</v>
      </c>
    </row>
    <row r="84" spans="2:6" ht="15.75" thickBot="1" x14ac:dyDescent="0.3">
      <c r="B84" s="62" t="s">
        <v>22</v>
      </c>
      <c r="C84" s="636"/>
      <c r="D84" s="162">
        <f>D81/C81-1</f>
        <v>0.25</v>
      </c>
      <c r="E84" s="162">
        <f t="shared" ref="E84:F86" si="8">E81/D81-1</f>
        <v>0.25</v>
      </c>
      <c r="F84" s="162">
        <f t="shared" si="8"/>
        <v>0</v>
      </c>
    </row>
    <row r="85" spans="2:6" ht="15.75" thickBot="1" x14ac:dyDescent="0.3">
      <c r="B85" s="62" t="s">
        <v>24</v>
      </c>
      <c r="C85" s="636"/>
      <c r="D85" s="162">
        <f>D82/C82-1</f>
        <v>6.3253012048192669E-2</v>
      </c>
      <c r="E85" s="162">
        <f t="shared" si="8"/>
        <v>0.11614730878186963</v>
      </c>
      <c r="F85" s="162">
        <f t="shared" si="8"/>
        <v>0.19289340101522834</v>
      </c>
    </row>
    <row r="86" spans="2:6" ht="15.75" thickBot="1" x14ac:dyDescent="0.3">
      <c r="B86" s="62" t="s">
        <v>25</v>
      </c>
      <c r="C86" s="636"/>
      <c r="D86" s="162">
        <f>D83/C83-1</f>
        <v>-0.14939759036144573</v>
      </c>
      <c r="E86" s="162">
        <f t="shared" si="8"/>
        <v>-0.1070821529745043</v>
      </c>
      <c r="F86" s="162">
        <f t="shared" si="8"/>
        <v>0.19289340101522856</v>
      </c>
    </row>
    <row r="87" spans="2:6" ht="15.75" thickBot="1" x14ac:dyDescent="0.3">
      <c r="B87" s="1000" t="s">
        <v>797</v>
      </c>
      <c r="C87" s="1001"/>
      <c r="D87" s="1001"/>
      <c r="E87" s="1001"/>
      <c r="F87" s="1002"/>
    </row>
    <row r="88" spans="2:6" x14ac:dyDescent="0.25">
      <c r="B88" s="998"/>
      <c r="C88" s="63">
        <v>2018</v>
      </c>
      <c r="D88" s="63">
        <v>2019</v>
      </c>
      <c r="E88" s="63">
        <v>2020</v>
      </c>
      <c r="F88" s="63">
        <v>2021</v>
      </c>
    </row>
    <row r="89" spans="2:6" ht="15.75" thickBot="1" x14ac:dyDescent="0.3">
      <c r="B89" s="999"/>
      <c r="C89" s="64" t="s">
        <v>10</v>
      </c>
      <c r="D89" s="64" t="s">
        <v>11</v>
      </c>
      <c r="E89" s="64" t="s">
        <v>11</v>
      </c>
      <c r="F89" s="64" t="s">
        <v>11</v>
      </c>
    </row>
    <row r="90" spans="2:6" ht="15.75" thickBot="1" x14ac:dyDescent="0.3">
      <c r="B90" s="65" t="s">
        <v>26</v>
      </c>
      <c r="C90" s="164">
        <v>1900</v>
      </c>
      <c r="D90" s="164">
        <v>2100</v>
      </c>
      <c r="E90" s="164">
        <v>2500</v>
      </c>
      <c r="F90" s="164">
        <v>3000</v>
      </c>
    </row>
    <row r="91" spans="2:6" ht="15.75" thickBot="1" x14ac:dyDescent="0.3">
      <c r="B91" s="65" t="s">
        <v>28</v>
      </c>
      <c r="C91" s="164">
        <v>220</v>
      </c>
      <c r="D91" s="164">
        <v>230</v>
      </c>
      <c r="E91" s="164">
        <v>240</v>
      </c>
      <c r="F91" s="164">
        <v>500</v>
      </c>
    </row>
    <row r="92" spans="2:6" ht="15.75" thickBot="1" x14ac:dyDescent="0.3">
      <c r="B92" s="65" t="s">
        <v>30</v>
      </c>
      <c r="C92" s="165">
        <v>1200</v>
      </c>
      <c r="D92" s="164">
        <v>1200</v>
      </c>
      <c r="E92" s="164">
        <v>1200</v>
      </c>
      <c r="F92" s="164">
        <v>1200</v>
      </c>
    </row>
    <row r="93" spans="2:6" ht="15.75" thickBot="1" x14ac:dyDescent="0.3">
      <c r="B93" s="65" t="s">
        <v>32</v>
      </c>
      <c r="C93" s="165">
        <v>0</v>
      </c>
      <c r="D93" s="164">
        <v>0</v>
      </c>
      <c r="E93" s="164">
        <v>0</v>
      </c>
      <c r="F93" s="164">
        <v>0</v>
      </c>
    </row>
    <row r="94" spans="2:6" ht="15.75" thickBot="1" x14ac:dyDescent="0.3">
      <c r="B94" s="65" t="s">
        <v>34</v>
      </c>
      <c r="C94" s="165">
        <v>0</v>
      </c>
      <c r="D94" s="164">
        <v>0</v>
      </c>
      <c r="E94" s="164">
        <v>0</v>
      </c>
      <c r="F94" s="164">
        <v>0</v>
      </c>
    </row>
    <row r="95" spans="2:6" ht="15.75" thickBot="1" x14ac:dyDescent="0.3">
      <c r="B95" s="65" t="s">
        <v>36</v>
      </c>
      <c r="C95" s="165">
        <v>0</v>
      </c>
      <c r="D95" s="164">
        <v>0</v>
      </c>
      <c r="E95" s="164">
        <v>0</v>
      </c>
      <c r="F95" s="164">
        <v>0</v>
      </c>
    </row>
    <row r="96" spans="2:6" ht="15.75" thickBot="1" x14ac:dyDescent="0.3">
      <c r="B96" s="65" t="s">
        <v>38</v>
      </c>
      <c r="C96" s="165">
        <v>0</v>
      </c>
      <c r="D96" s="164">
        <v>0</v>
      </c>
      <c r="E96" s="164">
        <v>0</v>
      </c>
      <c r="F96" s="164">
        <v>0</v>
      </c>
    </row>
    <row r="97" spans="2:6" ht="30.75" thickBot="1" x14ac:dyDescent="0.3">
      <c r="B97" s="204" t="s">
        <v>71</v>
      </c>
      <c r="C97" s="219">
        <f>C96+C94+C95+C93+C92+C91+C90</f>
        <v>3320</v>
      </c>
      <c r="D97" s="219">
        <f>D96+D94+D95+D93+D92+D91+D90</f>
        <v>3530</v>
      </c>
      <c r="E97" s="219">
        <f>E96+E94+E95+E93+E92+E91+E90</f>
        <v>3940</v>
      </c>
      <c r="F97" s="219">
        <f>F96+F94+F95+F93+F92+F91+F90</f>
        <v>4700</v>
      </c>
    </row>
    <row r="98" spans="2:6" ht="15.75" thickBot="1" x14ac:dyDescent="0.3">
      <c r="B98" s="166" t="s">
        <v>41</v>
      </c>
      <c r="C98" s="167">
        <f>IF(C97-C82=0,0,"Error")</f>
        <v>0</v>
      </c>
      <c r="D98" s="167">
        <f>IF(D97-D82=0,0,"Error")</f>
        <v>0</v>
      </c>
      <c r="E98" s="167">
        <f>IF(E97-E82=0,0,"Error")</f>
        <v>0</v>
      </c>
      <c r="F98" s="167">
        <f>IF(F97-F82=0,0,"Error")</f>
        <v>0</v>
      </c>
    </row>
    <row r="99" spans="2:6" ht="15.75" thickBot="1" x14ac:dyDescent="0.3">
      <c r="B99" s="708" t="s">
        <v>75</v>
      </c>
      <c r="C99" s="989" t="s">
        <v>1226</v>
      </c>
      <c r="D99" s="990"/>
      <c r="E99" s="990"/>
      <c r="F99" s="991"/>
    </row>
    <row r="100" spans="2:6" ht="15.75" thickBot="1" x14ac:dyDescent="0.3">
      <c r="B100" s="1027" t="s">
        <v>77</v>
      </c>
      <c r="C100" s="1028"/>
      <c r="D100" s="1028"/>
      <c r="E100" s="1028"/>
      <c r="F100" s="1029"/>
    </row>
    <row r="101" spans="2:6" ht="15.75" thickBot="1" x14ac:dyDescent="0.3">
      <c r="B101" s="1030" t="s">
        <v>70</v>
      </c>
      <c r="C101" s="1031"/>
      <c r="D101" s="1031"/>
      <c r="E101" s="1031"/>
      <c r="F101" s="1032"/>
    </row>
    <row r="102" spans="2:6" x14ac:dyDescent="0.25">
      <c r="B102" s="998"/>
      <c r="C102" s="63">
        <v>2018</v>
      </c>
      <c r="D102" s="63">
        <v>2019</v>
      </c>
      <c r="E102" s="63">
        <v>2020</v>
      </c>
      <c r="F102" s="63">
        <v>2021</v>
      </c>
    </row>
    <row r="103" spans="2:6" ht="15.75" thickBot="1" x14ac:dyDescent="0.3">
      <c r="B103" s="999"/>
      <c r="C103" s="64" t="s">
        <v>10</v>
      </c>
      <c r="D103" s="64" t="s">
        <v>11</v>
      </c>
      <c r="E103" s="64" t="s">
        <v>11</v>
      </c>
      <c r="F103" s="64" t="s">
        <v>11</v>
      </c>
    </row>
    <row r="104" spans="2:6" ht="15.75" thickBot="1" x14ac:dyDescent="0.3">
      <c r="B104" s="160" t="s">
        <v>16</v>
      </c>
      <c r="C104" s="1027" t="s">
        <v>1227</v>
      </c>
      <c r="D104" s="1028"/>
      <c r="E104" s="1028"/>
      <c r="F104" s="1029"/>
    </row>
    <row r="105" spans="2:6" ht="15.75" thickBot="1" x14ac:dyDescent="0.3">
      <c r="B105" s="62" t="s">
        <v>17</v>
      </c>
      <c r="C105" s="1027" t="s">
        <v>1228</v>
      </c>
      <c r="D105" s="1028"/>
      <c r="E105" s="1028"/>
      <c r="F105" s="1029"/>
    </row>
    <row r="106" spans="2:6" ht="15.75" thickBot="1" x14ac:dyDescent="0.3">
      <c r="B106" s="62" t="s">
        <v>18</v>
      </c>
      <c r="C106" s="1603" t="s">
        <v>1229</v>
      </c>
      <c r="D106" s="1604"/>
      <c r="E106" s="1604"/>
      <c r="F106" s="1605"/>
    </row>
    <row r="107" spans="2:6" x14ac:dyDescent="0.25">
      <c r="B107" s="998"/>
      <c r="C107" s="63">
        <v>2018</v>
      </c>
      <c r="D107" s="63">
        <v>2019</v>
      </c>
      <c r="E107" s="63">
        <v>2020</v>
      </c>
      <c r="F107" s="63">
        <v>2021</v>
      </c>
    </row>
    <row r="108" spans="2:6" ht="15.75" thickBot="1" x14ac:dyDescent="0.3">
      <c r="B108" s="999"/>
      <c r="C108" s="64" t="s">
        <v>10</v>
      </c>
      <c r="D108" s="64" t="s">
        <v>11</v>
      </c>
      <c r="E108" s="64" t="s">
        <v>11</v>
      </c>
      <c r="F108" s="64" t="s">
        <v>11</v>
      </c>
    </row>
    <row r="109" spans="2:6" ht="15.75" thickBot="1" x14ac:dyDescent="0.3">
      <c r="B109" s="62" t="s">
        <v>19</v>
      </c>
      <c r="C109" s="161">
        <v>2800</v>
      </c>
      <c r="D109" s="203">
        <v>2800</v>
      </c>
      <c r="E109" s="203">
        <v>3000</v>
      </c>
      <c r="F109" s="203">
        <v>3000</v>
      </c>
    </row>
    <row r="110" spans="2:6" ht="15.75" thickBot="1" x14ac:dyDescent="0.3">
      <c r="B110" s="62" t="s">
        <v>20</v>
      </c>
      <c r="C110" s="161">
        <f>C127</f>
        <v>6020</v>
      </c>
      <c r="D110" s="161">
        <f t="shared" ref="D110:F110" si="9">D127</f>
        <v>6130</v>
      </c>
      <c r="E110" s="161">
        <f t="shared" si="9"/>
        <v>6350</v>
      </c>
      <c r="F110" s="161">
        <f t="shared" si="9"/>
        <v>6400</v>
      </c>
    </row>
    <row r="111" spans="2:6" ht="15.75" thickBot="1" x14ac:dyDescent="0.3">
      <c r="B111" s="62" t="s">
        <v>21</v>
      </c>
      <c r="C111" s="161">
        <f>C110/C109</f>
        <v>2.15</v>
      </c>
      <c r="D111" s="161">
        <f t="shared" ref="D111:F111" si="10">D110/D109</f>
        <v>2.1892857142857145</v>
      </c>
      <c r="E111" s="161">
        <f t="shared" si="10"/>
        <v>2.1166666666666667</v>
      </c>
      <c r="F111" s="161">
        <f t="shared" si="10"/>
        <v>2.1333333333333333</v>
      </c>
    </row>
    <row r="112" spans="2:6" ht="15.75" thickBot="1" x14ac:dyDescent="0.3">
      <c r="B112" s="62" t="s">
        <v>22</v>
      </c>
      <c r="C112" s="636"/>
      <c r="D112" s="162">
        <f>D109/C109-1</f>
        <v>0</v>
      </c>
      <c r="E112" s="162">
        <f t="shared" ref="E112:F114" si="11">E109/D109-1</f>
        <v>7.1428571428571397E-2</v>
      </c>
      <c r="F112" s="162">
        <f t="shared" si="11"/>
        <v>0</v>
      </c>
    </row>
    <row r="113" spans="2:6" ht="15.75" thickBot="1" x14ac:dyDescent="0.3">
      <c r="B113" s="62" t="s">
        <v>24</v>
      </c>
      <c r="C113" s="636"/>
      <c r="D113" s="162">
        <f>D110/C110-1</f>
        <v>1.8272425249169499E-2</v>
      </c>
      <c r="E113" s="162">
        <f t="shared" si="11"/>
        <v>3.5889070146818858E-2</v>
      </c>
      <c r="F113" s="162">
        <f t="shared" si="11"/>
        <v>7.8740157480314821E-3</v>
      </c>
    </row>
    <row r="114" spans="2:6" ht="15.75" thickBot="1" x14ac:dyDescent="0.3">
      <c r="B114" s="62" t="s">
        <v>25</v>
      </c>
      <c r="C114" s="636"/>
      <c r="D114" s="162">
        <f>D111/C111-1</f>
        <v>1.8272425249169499E-2</v>
      </c>
      <c r="E114" s="162">
        <f t="shared" si="11"/>
        <v>-3.3170201196302429E-2</v>
      </c>
      <c r="F114" s="162">
        <f t="shared" si="11"/>
        <v>7.8740157480314821E-3</v>
      </c>
    </row>
    <row r="115" spans="2:6" x14ac:dyDescent="0.25">
      <c r="B115" s="998"/>
      <c r="C115" s="63">
        <v>2018</v>
      </c>
      <c r="D115" s="63">
        <v>2019</v>
      </c>
      <c r="E115" s="63">
        <v>2020</v>
      </c>
      <c r="F115" s="63">
        <v>2021</v>
      </c>
    </row>
    <row r="116" spans="2:6" ht="15.75" thickBot="1" x14ac:dyDescent="0.3">
      <c r="B116" s="999"/>
      <c r="C116" s="64" t="s">
        <v>10</v>
      </c>
      <c r="D116" s="64" t="s">
        <v>11</v>
      </c>
      <c r="E116" s="64" t="s">
        <v>11</v>
      </c>
      <c r="F116" s="64" t="s">
        <v>11</v>
      </c>
    </row>
    <row r="117" spans="2:6" ht="15.75" thickBot="1" x14ac:dyDescent="0.3">
      <c r="B117" s="1000" t="s">
        <v>794</v>
      </c>
      <c r="C117" s="1001"/>
      <c r="D117" s="1001"/>
      <c r="E117" s="1001"/>
      <c r="F117" s="1002"/>
    </row>
    <row r="118" spans="2:6" x14ac:dyDescent="0.25">
      <c r="B118" s="998"/>
      <c r="C118" s="63">
        <v>2018</v>
      </c>
      <c r="D118" s="63">
        <v>2019</v>
      </c>
      <c r="E118" s="63">
        <v>2020</v>
      </c>
      <c r="F118" s="63">
        <v>2021</v>
      </c>
    </row>
    <row r="119" spans="2:6" ht="15.75" thickBot="1" x14ac:dyDescent="0.3">
      <c r="B119" s="999"/>
      <c r="C119" s="64" t="s">
        <v>10</v>
      </c>
      <c r="D119" s="64" t="s">
        <v>11</v>
      </c>
      <c r="E119" s="64" t="s">
        <v>11</v>
      </c>
      <c r="F119" s="64" t="s">
        <v>11</v>
      </c>
    </row>
    <row r="120" spans="2:6" ht="15.75" thickBot="1" x14ac:dyDescent="0.3">
      <c r="B120" s="65" t="s">
        <v>26</v>
      </c>
      <c r="C120" s="164">
        <v>4200</v>
      </c>
      <c r="D120" s="164">
        <v>4300</v>
      </c>
      <c r="E120" s="164">
        <v>4500</v>
      </c>
      <c r="F120" s="164">
        <v>4500</v>
      </c>
    </row>
    <row r="121" spans="2:6" ht="15.75" thickBot="1" x14ac:dyDescent="0.3">
      <c r="B121" s="65" t="s">
        <v>28</v>
      </c>
      <c r="C121" s="164">
        <v>420</v>
      </c>
      <c r="D121" s="164">
        <v>430</v>
      </c>
      <c r="E121" s="164">
        <v>450</v>
      </c>
      <c r="F121" s="164">
        <v>450</v>
      </c>
    </row>
    <row r="122" spans="2:6" ht="15.75" thickBot="1" x14ac:dyDescent="0.3">
      <c r="B122" s="65" t="s">
        <v>30</v>
      </c>
      <c r="C122" s="165">
        <v>1400</v>
      </c>
      <c r="D122" s="164">
        <v>1400</v>
      </c>
      <c r="E122" s="164">
        <v>1400</v>
      </c>
      <c r="F122" s="164">
        <v>1450</v>
      </c>
    </row>
    <row r="123" spans="2:6" ht="15.75" thickBot="1" x14ac:dyDescent="0.3">
      <c r="B123" s="65" t="s">
        <v>32</v>
      </c>
      <c r="C123" s="165">
        <v>0</v>
      </c>
      <c r="D123" s="164">
        <v>0</v>
      </c>
      <c r="E123" s="164">
        <v>0</v>
      </c>
      <c r="F123" s="164">
        <v>0</v>
      </c>
    </row>
    <row r="124" spans="2:6" ht="15.75" thickBot="1" x14ac:dyDescent="0.3">
      <c r="B124" s="65" t="s">
        <v>34</v>
      </c>
      <c r="C124" s="165">
        <v>0</v>
      </c>
      <c r="D124" s="164">
        <v>0</v>
      </c>
      <c r="E124" s="164">
        <v>0</v>
      </c>
      <c r="F124" s="164">
        <v>0</v>
      </c>
    </row>
    <row r="125" spans="2:6" ht="15.75" thickBot="1" x14ac:dyDescent="0.3">
      <c r="B125" s="65" t="s">
        <v>36</v>
      </c>
      <c r="C125" s="165">
        <v>0</v>
      </c>
      <c r="D125" s="164">
        <v>0</v>
      </c>
      <c r="E125" s="164">
        <v>0</v>
      </c>
      <c r="F125" s="164">
        <v>0</v>
      </c>
    </row>
    <row r="126" spans="2:6" ht="15.75" thickBot="1" x14ac:dyDescent="0.3">
      <c r="B126" s="65" t="s">
        <v>38</v>
      </c>
      <c r="C126" s="165">
        <v>0</v>
      </c>
      <c r="D126" s="164">
        <v>0</v>
      </c>
      <c r="E126" s="164">
        <v>0</v>
      </c>
      <c r="F126" s="164">
        <v>0</v>
      </c>
    </row>
    <row r="127" spans="2:6" ht="30.75" thickBot="1" x14ac:dyDescent="0.3">
      <c r="B127" s="204" t="s">
        <v>71</v>
      </c>
      <c r="C127" s="205">
        <f>C126+C125+C124+C123+C122+C121+C120</f>
        <v>6020</v>
      </c>
      <c r="D127" s="205">
        <f>D126+D125+D124+D123+D122+D121+D120</f>
        <v>6130</v>
      </c>
      <c r="E127" s="205">
        <f>E126+E125+E124+E123+E122+E121+E120</f>
        <v>6350</v>
      </c>
      <c r="F127" s="205">
        <f>F126+F125+F124+F123+F122+F121+F120</f>
        <v>6400</v>
      </c>
    </row>
    <row r="128" spans="2:6" ht="15.75" thickBot="1" x14ac:dyDescent="0.3">
      <c r="B128" s="166" t="s">
        <v>41</v>
      </c>
      <c r="C128" s="167">
        <f>IF(C127-C110=0,0,"Error")</f>
        <v>0</v>
      </c>
      <c r="D128" s="167">
        <f>IF(D127-D110=0,0,"Error")</f>
        <v>0</v>
      </c>
      <c r="E128" s="167">
        <f>IF(E127-E110=0,0,"Error")</f>
        <v>0</v>
      </c>
      <c r="F128" s="167">
        <f>IF(F127-F110=0,0,"Error")</f>
        <v>0</v>
      </c>
    </row>
    <row r="129" spans="2:6" ht="15.75" thickBot="1" x14ac:dyDescent="0.3">
      <c r="B129" s="195" t="s">
        <v>824</v>
      </c>
      <c r="C129" s="989" t="s">
        <v>1230</v>
      </c>
      <c r="D129" s="990"/>
      <c r="E129" s="990"/>
      <c r="F129" s="991"/>
    </row>
    <row r="130" spans="2:6" ht="15.75" thickBot="1" x14ac:dyDescent="0.3">
      <c r="B130" s="62" t="s">
        <v>17</v>
      </c>
      <c r="C130" s="1027" t="s">
        <v>1231</v>
      </c>
      <c r="D130" s="1028"/>
      <c r="E130" s="1028"/>
      <c r="F130" s="1029"/>
    </row>
    <row r="131" spans="2:6" ht="15.75" thickBot="1" x14ac:dyDescent="0.3">
      <c r="B131" s="62" t="s">
        <v>18</v>
      </c>
      <c r="C131" s="1603" t="s">
        <v>1232</v>
      </c>
      <c r="D131" s="1604"/>
      <c r="E131" s="1604"/>
      <c r="F131" s="1605"/>
    </row>
    <row r="132" spans="2:6" x14ac:dyDescent="0.25">
      <c r="B132" s="998"/>
      <c r="C132" s="63">
        <v>2018</v>
      </c>
      <c r="D132" s="63">
        <v>2019</v>
      </c>
      <c r="E132" s="63">
        <v>2020</v>
      </c>
      <c r="F132" s="63">
        <v>2021</v>
      </c>
    </row>
    <row r="133" spans="2:6" ht="15.75" thickBot="1" x14ac:dyDescent="0.3">
      <c r="B133" s="999"/>
      <c r="C133" s="64" t="s">
        <v>10</v>
      </c>
      <c r="D133" s="64" t="s">
        <v>11</v>
      </c>
      <c r="E133" s="64" t="s">
        <v>11</v>
      </c>
      <c r="F133" s="64" t="s">
        <v>11</v>
      </c>
    </row>
    <row r="134" spans="2:6" ht="15.75" thickBot="1" x14ac:dyDescent="0.3">
      <c r="B134" s="62" t="s">
        <v>19</v>
      </c>
      <c r="C134" s="161">
        <v>10</v>
      </c>
      <c r="D134" s="161">
        <v>15</v>
      </c>
      <c r="E134" s="161">
        <v>20</v>
      </c>
      <c r="F134" s="161">
        <v>25</v>
      </c>
    </row>
    <row r="135" spans="2:6" ht="15.75" thickBot="1" x14ac:dyDescent="0.3">
      <c r="B135" s="62" t="s">
        <v>20</v>
      </c>
      <c r="C135" s="161">
        <f>C150</f>
        <v>4140</v>
      </c>
      <c r="D135" s="161">
        <f t="shared" ref="D135:F135" si="12">D150</f>
        <v>4140</v>
      </c>
      <c r="E135" s="161">
        <f t="shared" si="12"/>
        <v>4828</v>
      </c>
      <c r="F135" s="161">
        <f t="shared" si="12"/>
        <v>4828</v>
      </c>
    </row>
    <row r="136" spans="2:6" ht="15.75" thickBot="1" x14ac:dyDescent="0.3">
      <c r="B136" s="62" t="s">
        <v>21</v>
      </c>
      <c r="C136" s="161">
        <f>C135/C134</f>
        <v>414</v>
      </c>
      <c r="D136" s="161">
        <f t="shared" ref="D136:F136" si="13">D135/D134</f>
        <v>276</v>
      </c>
      <c r="E136" s="161">
        <f t="shared" si="13"/>
        <v>241.4</v>
      </c>
      <c r="F136" s="161">
        <f t="shared" si="13"/>
        <v>193.12</v>
      </c>
    </row>
    <row r="137" spans="2:6" ht="15.75" thickBot="1" x14ac:dyDescent="0.3">
      <c r="B137" s="62" t="s">
        <v>22</v>
      </c>
      <c r="C137" s="636"/>
      <c r="D137" s="162">
        <f>D134/C134-1</f>
        <v>0.5</v>
      </c>
      <c r="E137" s="162">
        <f t="shared" ref="E137:F139" si="14">E134/D134-1</f>
        <v>0.33333333333333326</v>
      </c>
      <c r="F137" s="162">
        <f t="shared" si="14"/>
        <v>0.25</v>
      </c>
    </row>
    <row r="138" spans="2:6" ht="15.75" thickBot="1" x14ac:dyDescent="0.3">
      <c r="B138" s="62" t="s">
        <v>24</v>
      </c>
      <c r="C138" s="636"/>
      <c r="D138" s="162">
        <f>D135/C135-1</f>
        <v>0</v>
      </c>
      <c r="E138" s="162">
        <f t="shared" si="14"/>
        <v>0.16618357487922708</v>
      </c>
      <c r="F138" s="162">
        <f t="shared" si="14"/>
        <v>0</v>
      </c>
    </row>
    <row r="139" spans="2:6" ht="15.75" thickBot="1" x14ac:dyDescent="0.3">
      <c r="B139" s="62" t="s">
        <v>25</v>
      </c>
      <c r="C139" s="636"/>
      <c r="D139" s="162">
        <f>D136/C136-1</f>
        <v>-0.33333333333333337</v>
      </c>
      <c r="E139" s="162">
        <f t="shared" si="14"/>
        <v>-0.12536231884057969</v>
      </c>
      <c r="F139" s="162">
        <f t="shared" si="14"/>
        <v>-0.19999999999999996</v>
      </c>
    </row>
    <row r="140" spans="2:6" ht="15.75" thickBot="1" x14ac:dyDescent="0.3">
      <c r="B140" s="1000" t="s">
        <v>797</v>
      </c>
      <c r="C140" s="1001"/>
      <c r="D140" s="1001"/>
      <c r="E140" s="1001"/>
      <c r="F140" s="1002"/>
    </row>
    <row r="141" spans="2:6" x14ac:dyDescent="0.25">
      <c r="B141" s="998"/>
      <c r="C141" s="63">
        <v>2018</v>
      </c>
      <c r="D141" s="63">
        <v>2019</v>
      </c>
      <c r="E141" s="63">
        <v>2020</v>
      </c>
      <c r="F141" s="63">
        <v>2021</v>
      </c>
    </row>
    <row r="142" spans="2:6" ht="15.75" thickBot="1" x14ac:dyDescent="0.3">
      <c r="B142" s="999"/>
      <c r="C142" s="64" t="s">
        <v>10</v>
      </c>
      <c r="D142" s="64" t="s">
        <v>11</v>
      </c>
      <c r="E142" s="64" t="s">
        <v>11</v>
      </c>
      <c r="F142" s="64" t="s">
        <v>11</v>
      </c>
    </row>
    <row r="143" spans="2:6" ht="15.75" thickBot="1" x14ac:dyDescent="0.3">
      <c r="B143" s="65" t="s">
        <v>26</v>
      </c>
      <c r="C143" s="164">
        <v>2500</v>
      </c>
      <c r="D143" s="164">
        <v>2500</v>
      </c>
      <c r="E143" s="164">
        <v>3000</v>
      </c>
      <c r="F143" s="164">
        <v>3000</v>
      </c>
    </row>
    <row r="144" spans="2:6" ht="15.75" thickBot="1" x14ac:dyDescent="0.3">
      <c r="B144" s="65" t="s">
        <v>28</v>
      </c>
      <c r="C144" s="164">
        <v>440</v>
      </c>
      <c r="D144" s="164">
        <v>440</v>
      </c>
      <c r="E144" s="164">
        <v>528</v>
      </c>
      <c r="F144" s="164">
        <v>528</v>
      </c>
    </row>
    <row r="145" spans="2:6" ht="15.75" thickBot="1" x14ac:dyDescent="0.3">
      <c r="B145" s="65" t="s">
        <v>30</v>
      </c>
      <c r="C145" s="165">
        <v>1200</v>
      </c>
      <c r="D145" s="164">
        <v>1200</v>
      </c>
      <c r="E145" s="164">
        <v>1300</v>
      </c>
      <c r="F145" s="164">
        <v>1300</v>
      </c>
    </row>
    <row r="146" spans="2:6" ht="15.75" thickBot="1" x14ac:dyDescent="0.3">
      <c r="B146" s="65" t="s">
        <v>32</v>
      </c>
      <c r="C146" s="165">
        <v>0</v>
      </c>
      <c r="D146" s="164">
        <v>0</v>
      </c>
      <c r="E146" s="164">
        <v>0</v>
      </c>
      <c r="F146" s="164">
        <v>0</v>
      </c>
    </row>
    <row r="147" spans="2:6" ht="15.75" thickBot="1" x14ac:dyDescent="0.3">
      <c r="B147" s="65" t="s">
        <v>34</v>
      </c>
      <c r="C147" s="165">
        <v>0</v>
      </c>
      <c r="D147" s="164">
        <v>0</v>
      </c>
      <c r="E147" s="164">
        <v>0</v>
      </c>
      <c r="F147" s="164">
        <v>0</v>
      </c>
    </row>
    <row r="148" spans="2:6" ht="15.75" thickBot="1" x14ac:dyDescent="0.3">
      <c r="B148" s="65" t="s">
        <v>36</v>
      </c>
      <c r="C148" s="165">
        <v>0</v>
      </c>
      <c r="D148" s="164">
        <v>0</v>
      </c>
      <c r="E148" s="164">
        <v>0</v>
      </c>
      <c r="F148" s="164">
        <v>0</v>
      </c>
    </row>
    <row r="149" spans="2:6" ht="15.75" thickBot="1" x14ac:dyDescent="0.3">
      <c r="B149" s="65" t="s">
        <v>38</v>
      </c>
      <c r="C149" s="165">
        <v>0</v>
      </c>
      <c r="D149" s="164">
        <v>0</v>
      </c>
      <c r="E149" s="164">
        <v>0</v>
      </c>
      <c r="F149" s="164">
        <v>0</v>
      </c>
    </row>
    <row r="150" spans="2:6" ht="30.75" thickBot="1" x14ac:dyDescent="0.3">
      <c r="B150" s="204" t="s">
        <v>71</v>
      </c>
      <c r="C150" s="219">
        <f>C149+C147+C148+C146+C145+C144+C143</f>
        <v>4140</v>
      </c>
      <c r="D150" s="219">
        <f>D149+D147+D148+D146+D145+D144+D143</f>
        <v>4140</v>
      </c>
      <c r="E150" s="219">
        <f>E149+E147+E148+E146+E145+E144+E143</f>
        <v>4828</v>
      </c>
      <c r="F150" s="219">
        <f>F149+F147+F148+F146+F145+F144+F143</f>
        <v>4828</v>
      </c>
    </row>
    <row r="151" spans="2:6" ht="15.75" thickBot="1" x14ac:dyDescent="0.3">
      <c r="B151" s="166" t="s">
        <v>41</v>
      </c>
      <c r="C151" s="167">
        <f>IF(C150-C135=0,0,"Error")</f>
        <v>0</v>
      </c>
      <c r="D151" s="167">
        <f>IF(D150-D135=0,0,"Error")</f>
        <v>0</v>
      </c>
      <c r="E151" s="167">
        <f>IF(E150-E135=0,0,"Error")</f>
        <v>0</v>
      </c>
      <c r="F151" s="167">
        <f>IF(F150-F135=0,0,"Error")</f>
        <v>0</v>
      </c>
    </row>
    <row r="152" spans="2:6" ht="15.75" thickBot="1" x14ac:dyDescent="0.3">
      <c r="B152" s="195" t="s">
        <v>1262</v>
      </c>
      <c r="C152" s="989" t="s">
        <v>1233</v>
      </c>
      <c r="D152" s="990"/>
      <c r="E152" s="990"/>
      <c r="F152" s="991"/>
    </row>
    <row r="153" spans="2:6" ht="30.75" customHeight="1" thickBot="1" x14ac:dyDescent="0.3">
      <c r="B153" s="62" t="s">
        <v>17</v>
      </c>
      <c r="C153" s="1027" t="s">
        <v>1234</v>
      </c>
      <c r="D153" s="1028"/>
      <c r="E153" s="1028"/>
      <c r="F153" s="1029"/>
    </row>
    <row r="154" spans="2:6" ht="15.75" thickBot="1" x14ac:dyDescent="0.3">
      <c r="B154" s="62" t="s">
        <v>18</v>
      </c>
      <c r="C154" s="1603" t="s">
        <v>1235</v>
      </c>
      <c r="D154" s="1604"/>
      <c r="E154" s="1604"/>
      <c r="F154" s="1605"/>
    </row>
    <row r="155" spans="2:6" x14ac:dyDescent="0.25">
      <c r="B155" s="998"/>
      <c r="C155" s="63">
        <v>2018</v>
      </c>
      <c r="D155" s="63">
        <v>2019</v>
      </c>
      <c r="E155" s="63">
        <v>2020</v>
      </c>
      <c r="F155" s="63">
        <v>2021</v>
      </c>
    </row>
    <row r="156" spans="2:6" ht="15.75" thickBot="1" x14ac:dyDescent="0.3">
      <c r="B156" s="999"/>
      <c r="C156" s="64" t="s">
        <v>10</v>
      </c>
      <c r="D156" s="64" t="s">
        <v>11</v>
      </c>
      <c r="E156" s="64" t="s">
        <v>11</v>
      </c>
      <c r="F156" s="64" t="s">
        <v>11</v>
      </c>
    </row>
    <row r="157" spans="2:6" ht="15.75" thickBot="1" x14ac:dyDescent="0.3">
      <c r="B157" s="62" t="s">
        <v>19</v>
      </c>
      <c r="C157" s="161">
        <v>15</v>
      </c>
      <c r="D157" s="161">
        <v>15</v>
      </c>
      <c r="E157" s="161">
        <v>15</v>
      </c>
      <c r="F157" s="161">
        <v>15</v>
      </c>
    </row>
    <row r="158" spans="2:6" ht="15.75" thickBot="1" x14ac:dyDescent="0.3">
      <c r="B158" s="62" t="s">
        <v>20</v>
      </c>
      <c r="C158" s="161">
        <f>C173</f>
        <v>4780</v>
      </c>
      <c r="D158" s="161">
        <f t="shared" ref="D158:F158" si="15">D173</f>
        <v>4780</v>
      </c>
      <c r="E158" s="161">
        <f t="shared" si="15"/>
        <v>4780</v>
      </c>
      <c r="F158" s="161">
        <f t="shared" si="15"/>
        <v>4780</v>
      </c>
    </row>
    <row r="159" spans="2:6" ht="15.75" thickBot="1" x14ac:dyDescent="0.3">
      <c r="B159" s="62" t="s">
        <v>21</v>
      </c>
      <c r="C159" s="161">
        <f>C158/C157</f>
        <v>318.66666666666669</v>
      </c>
      <c r="D159" s="161">
        <f t="shared" ref="D159:F159" si="16">D158/D157</f>
        <v>318.66666666666669</v>
      </c>
      <c r="E159" s="161">
        <f t="shared" si="16"/>
        <v>318.66666666666669</v>
      </c>
      <c r="F159" s="161">
        <f t="shared" si="16"/>
        <v>318.66666666666669</v>
      </c>
    </row>
    <row r="160" spans="2:6" ht="15.75" thickBot="1" x14ac:dyDescent="0.3">
      <c r="B160" s="62" t="s">
        <v>22</v>
      </c>
      <c r="C160" s="636"/>
      <c r="D160" s="162">
        <f>D157/C157-1</f>
        <v>0</v>
      </c>
      <c r="E160" s="162">
        <f t="shared" ref="E160:F162" si="17">E157/D157-1</f>
        <v>0</v>
      </c>
      <c r="F160" s="162">
        <f t="shared" si="17"/>
        <v>0</v>
      </c>
    </row>
    <row r="161" spans="2:6" ht="15.75" thickBot="1" x14ac:dyDescent="0.3">
      <c r="B161" s="62" t="s">
        <v>24</v>
      </c>
      <c r="C161" s="636"/>
      <c r="D161" s="162">
        <f>D158/C158-1</f>
        <v>0</v>
      </c>
      <c r="E161" s="162">
        <f t="shared" si="17"/>
        <v>0</v>
      </c>
      <c r="F161" s="162">
        <f t="shared" si="17"/>
        <v>0</v>
      </c>
    </row>
    <row r="162" spans="2:6" ht="15.75" thickBot="1" x14ac:dyDescent="0.3">
      <c r="B162" s="62" t="s">
        <v>25</v>
      </c>
      <c r="C162" s="636"/>
      <c r="D162" s="162">
        <f>D159/C159-1</f>
        <v>0</v>
      </c>
      <c r="E162" s="162">
        <f t="shared" si="17"/>
        <v>0</v>
      </c>
      <c r="F162" s="162">
        <f t="shared" si="17"/>
        <v>0</v>
      </c>
    </row>
    <row r="163" spans="2:6" ht="15.75" thickBot="1" x14ac:dyDescent="0.3">
      <c r="B163" s="1000" t="s">
        <v>799</v>
      </c>
      <c r="C163" s="1001"/>
      <c r="D163" s="1001"/>
      <c r="E163" s="1001"/>
      <c r="F163" s="1002"/>
    </row>
    <row r="164" spans="2:6" x14ac:dyDescent="0.25">
      <c r="B164" s="998"/>
      <c r="C164" s="63">
        <v>2018</v>
      </c>
      <c r="D164" s="63">
        <v>2019</v>
      </c>
      <c r="E164" s="63">
        <v>2020</v>
      </c>
      <c r="F164" s="63">
        <v>2021</v>
      </c>
    </row>
    <row r="165" spans="2:6" ht="15.75" thickBot="1" x14ac:dyDescent="0.3">
      <c r="B165" s="999"/>
      <c r="C165" s="64" t="s">
        <v>10</v>
      </c>
      <c r="D165" s="64" t="s">
        <v>11</v>
      </c>
      <c r="E165" s="64" t="s">
        <v>11</v>
      </c>
      <c r="F165" s="64" t="s">
        <v>11</v>
      </c>
    </row>
    <row r="166" spans="2:6" ht="15.75" thickBot="1" x14ac:dyDescent="0.3">
      <c r="B166" s="65" t="s">
        <v>26</v>
      </c>
      <c r="C166" s="164">
        <v>3000</v>
      </c>
      <c r="D166" s="164">
        <v>3000</v>
      </c>
      <c r="E166" s="164">
        <v>3000</v>
      </c>
      <c r="F166" s="164">
        <v>3000</v>
      </c>
    </row>
    <row r="167" spans="2:6" ht="15.75" thickBot="1" x14ac:dyDescent="0.3">
      <c r="B167" s="65" t="s">
        <v>28</v>
      </c>
      <c r="C167" s="164">
        <v>480</v>
      </c>
      <c r="D167" s="164">
        <v>480</v>
      </c>
      <c r="E167" s="164">
        <v>480</v>
      </c>
      <c r="F167" s="164">
        <v>480</v>
      </c>
    </row>
    <row r="168" spans="2:6" ht="15.75" thickBot="1" x14ac:dyDescent="0.3">
      <c r="B168" s="65" t="s">
        <v>30</v>
      </c>
      <c r="C168" s="165">
        <v>1300</v>
      </c>
      <c r="D168" s="164">
        <v>1300</v>
      </c>
      <c r="E168" s="164">
        <v>1300</v>
      </c>
      <c r="F168" s="164">
        <v>1300</v>
      </c>
    </row>
    <row r="169" spans="2:6" ht="15.75" thickBot="1" x14ac:dyDescent="0.3">
      <c r="B169" s="65" t="s">
        <v>32</v>
      </c>
      <c r="C169" s="165">
        <v>0</v>
      </c>
      <c r="D169" s="164">
        <v>0</v>
      </c>
      <c r="E169" s="164">
        <v>0</v>
      </c>
      <c r="F169" s="164">
        <v>0</v>
      </c>
    </row>
    <row r="170" spans="2:6" ht="15.75" thickBot="1" x14ac:dyDescent="0.3">
      <c r="B170" s="65" t="s">
        <v>34</v>
      </c>
      <c r="C170" s="165">
        <v>0</v>
      </c>
      <c r="D170" s="164">
        <v>0</v>
      </c>
      <c r="E170" s="164">
        <v>0</v>
      </c>
      <c r="F170" s="164">
        <v>0</v>
      </c>
    </row>
    <row r="171" spans="2:6" ht="15.75" thickBot="1" x14ac:dyDescent="0.3">
      <c r="B171" s="65" t="s">
        <v>36</v>
      </c>
      <c r="C171" s="165">
        <v>0</v>
      </c>
      <c r="D171" s="164">
        <v>0</v>
      </c>
      <c r="E171" s="164">
        <v>0</v>
      </c>
      <c r="F171" s="164">
        <v>0</v>
      </c>
    </row>
    <row r="172" spans="2:6" ht="15.75" thickBot="1" x14ac:dyDescent="0.3">
      <c r="B172" s="65" t="s">
        <v>38</v>
      </c>
      <c r="C172" s="165">
        <v>0</v>
      </c>
      <c r="D172" s="164">
        <v>0</v>
      </c>
      <c r="E172" s="164">
        <v>0</v>
      </c>
      <c r="F172" s="164">
        <v>0</v>
      </c>
    </row>
    <row r="173" spans="2:6" ht="30.75" thickBot="1" x14ac:dyDescent="0.3">
      <c r="B173" s="204" t="s">
        <v>71</v>
      </c>
      <c r="C173" s="219">
        <f>C172+C170+C171+C169+C168+C167+C166</f>
        <v>4780</v>
      </c>
      <c r="D173" s="219">
        <f>D172+D170+D171+D169+D168+D167+D166</f>
        <v>4780</v>
      </c>
      <c r="E173" s="219">
        <f>E172+E170+E171+E169+E168+E167+E166</f>
        <v>4780</v>
      </c>
      <c r="F173" s="219">
        <f>F172+F170+F171+F169+F168+F167+F166</f>
        <v>4780</v>
      </c>
    </row>
    <row r="174" spans="2:6" ht="15.75" thickBot="1" x14ac:dyDescent="0.3">
      <c r="B174" s="166" t="s">
        <v>41</v>
      </c>
      <c r="C174" s="167">
        <f>IF(C173-C158=0,0,"Error")</f>
        <v>0</v>
      </c>
      <c r="D174" s="167">
        <f>IF(D173-D158=0,0,"Error")</f>
        <v>0</v>
      </c>
      <c r="E174" s="167">
        <f>IF(E173-E158=0,0,"Error")</f>
        <v>0</v>
      </c>
      <c r="F174" s="167">
        <f>IF(F173-F158=0,0,"Error")</f>
        <v>0</v>
      </c>
    </row>
    <row r="175" spans="2:6" ht="15.75" thickBot="1" x14ac:dyDescent="0.3">
      <c r="B175" s="708" t="s">
        <v>78</v>
      </c>
      <c r="C175" s="989" t="s">
        <v>1236</v>
      </c>
      <c r="D175" s="990"/>
      <c r="E175" s="990"/>
      <c r="F175" s="991"/>
    </row>
    <row r="176" spans="2:6" ht="15.75" thickBot="1" x14ac:dyDescent="0.3">
      <c r="B176" s="1027" t="s">
        <v>346</v>
      </c>
      <c r="C176" s="1028"/>
      <c r="D176" s="1028"/>
      <c r="E176" s="1028"/>
      <c r="F176" s="1029"/>
    </row>
    <row r="177" spans="2:6" ht="15.75" thickBot="1" x14ac:dyDescent="0.3">
      <c r="B177" s="1030" t="s">
        <v>70</v>
      </c>
      <c r="C177" s="1031"/>
      <c r="D177" s="1031"/>
      <c r="E177" s="1031"/>
      <c r="F177" s="1032"/>
    </row>
    <row r="178" spans="2:6" x14ac:dyDescent="0.25">
      <c r="B178" s="998"/>
      <c r="C178" s="63">
        <v>2018</v>
      </c>
      <c r="D178" s="63">
        <v>2019</v>
      </c>
      <c r="E178" s="63">
        <v>2020</v>
      </c>
      <c r="F178" s="63">
        <v>2021</v>
      </c>
    </row>
    <row r="179" spans="2:6" ht="15.75" thickBot="1" x14ac:dyDescent="0.3">
      <c r="B179" s="999"/>
      <c r="C179" s="64" t="s">
        <v>10</v>
      </c>
      <c r="D179" s="64" t="s">
        <v>11</v>
      </c>
      <c r="E179" s="64" t="s">
        <v>11</v>
      </c>
      <c r="F179" s="64" t="s">
        <v>11</v>
      </c>
    </row>
    <row r="180" spans="2:6" ht="15.75" thickBot="1" x14ac:dyDescent="0.3">
      <c r="B180" s="160" t="s">
        <v>16</v>
      </c>
      <c r="C180" s="1027" t="s">
        <v>1237</v>
      </c>
      <c r="D180" s="1028"/>
      <c r="E180" s="1028"/>
      <c r="F180" s="1029"/>
    </row>
    <row r="181" spans="2:6" ht="64.5" customHeight="1" thickBot="1" x14ac:dyDescent="0.3">
      <c r="B181" s="62" t="s">
        <v>17</v>
      </c>
      <c r="C181" s="1027" t="s">
        <v>1238</v>
      </c>
      <c r="D181" s="1028"/>
      <c r="E181" s="1028"/>
      <c r="F181" s="1029"/>
    </row>
    <row r="182" spans="2:6" ht="15.75" thickBot="1" x14ac:dyDescent="0.3">
      <c r="B182" s="62" t="s">
        <v>18</v>
      </c>
      <c r="C182" s="1603" t="s">
        <v>1239</v>
      </c>
      <c r="D182" s="1604"/>
      <c r="E182" s="1604"/>
      <c r="F182" s="1605"/>
    </row>
    <row r="183" spans="2:6" x14ac:dyDescent="0.25">
      <c r="B183" s="998"/>
      <c r="C183" s="63">
        <v>2018</v>
      </c>
      <c r="D183" s="63">
        <v>2019</v>
      </c>
      <c r="E183" s="63">
        <v>2020</v>
      </c>
      <c r="F183" s="63">
        <v>2021</v>
      </c>
    </row>
    <row r="184" spans="2:6" ht="15.75" thickBot="1" x14ac:dyDescent="0.3">
      <c r="B184" s="999"/>
      <c r="C184" s="64" t="s">
        <v>10</v>
      </c>
      <c r="D184" s="64" t="s">
        <v>11</v>
      </c>
      <c r="E184" s="64" t="s">
        <v>11</v>
      </c>
      <c r="F184" s="64" t="s">
        <v>11</v>
      </c>
    </row>
    <row r="185" spans="2:6" ht="15.75" thickBot="1" x14ac:dyDescent="0.3">
      <c r="B185" s="62" t="s">
        <v>19</v>
      </c>
      <c r="C185" s="161">
        <v>600</v>
      </c>
      <c r="D185" s="203">
        <v>650</v>
      </c>
      <c r="E185" s="203">
        <v>700</v>
      </c>
      <c r="F185" s="203">
        <v>700</v>
      </c>
    </row>
    <row r="186" spans="2:6" ht="15.75" thickBot="1" x14ac:dyDescent="0.3">
      <c r="B186" s="62" t="s">
        <v>20</v>
      </c>
      <c r="C186" s="161">
        <f>C203</f>
        <v>3124</v>
      </c>
      <c r="D186" s="161">
        <f t="shared" ref="D186:F186" si="18">D203</f>
        <v>4050</v>
      </c>
      <c r="E186" s="161">
        <f t="shared" si="18"/>
        <v>6348</v>
      </c>
      <c r="F186" s="161">
        <f t="shared" si="18"/>
        <v>6350</v>
      </c>
    </row>
    <row r="187" spans="2:6" ht="15.75" thickBot="1" x14ac:dyDescent="0.3">
      <c r="B187" s="62" t="s">
        <v>21</v>
      </c>
      <c r="C187" s="161">
        <f>C186/C185</f>
        <v>5.206666666666667</v>
      </c>
      <c r="D187" s="161">
        <f t="shared" ref="D187:F187" si="19">D186/D185</f>
        <v>6.2307692307692308</v>
      </c>
      <c r="E187" s="161">
        <f t="shared" si="19"/>
        <v>9.0685714285714294</v>
      </c>
      <c r="F187" s="161">
        <f t="shared" si="19"/>
        <v>9.0714285714285712</v>
      </c>
    </row>
    <row r="188" spans="2:6" ht="15.75" thickBot="1" x14ac:dyDescent="0.3">
      <c r="B188" s="62" t="s">
        <v>22</v>
      </c>
      <c r="C188" s="636"/>
      <c r="D188" s="162">
        <f>D185/C185-1</f>
        <v>8.3333333333333259E-2</v>
      </c>
      <c r="E188" s="162">
        <f t="shared" ref="E188:F190" si="20">E185/D185-1</f>
        <v>7.6923076923076872E-2</v>
      </c>
      <c r="F188" s="162">
        <f t="shared" si="20"/>
        <v>0</v>
      </c>
    </row>
    <row r="189" spans="2:6" ht="15.75" thickBot="1" x14ac:dyDescent="0.3">
      <c r="B189" s="62" t="s">
        <v>24</v>
      </c>
      <c r="C189" s="636"/>
      <c r="D189" s="162">
        <f>D186/C186-1</f>
        <v>0.29641485275288093</v>
      </c>
      <c r="E189" s="162">
        <f t="shared" si="20"/>
        <v>0.56740740740740736</v>
      </c>
      <c r="F189" s="162">
        <f t="shared" si="20"/>
        <v>3.1505986137370101E-4</v>
      </c>
    </row>
    <row r="190" spans="2:6" ht="15.75" thickBot="1" x14ac:dyDescent="0.3">
      <c r="B190" s="62" t="s">
        <v>25</v>
      </c>
      <c r="C190" s="636"/>
      <c r="D190" s="162">
        <f>D187/C187-1</f>
        <v>0.19669063331035153</v>
      </c>
      <c r="E190" s="162">
        <f t="shared" si="20"/>
        <v>0.45544973544973555</v>
      </c>
      <c r="F190" s="162">
        <f t="shared" si="20"/>
        <v>3.1505986137347897E-4</v>
      </c>
    </row>
    <row r="191" spans="2:6" x14ac:dyDescent="0.25">
      <c r="B191" s="998"/>
      <c r="C191" s="63">
        <v>2018</v>
      </c>
      <c r="D191" s="63">
        <v>2019</v>
      </c>
      <c r="E191" s="63">
        <v>2020</v>
      </c>
      <c r="F191" s="63">
        <v>2021</v>
      </c>
    </row>
    <row r="192" spans="2:6" ht="15.75" thickBot="1" x14ac:dyDescent="0.3">
      <c r="B192" s="999"/>
      <c r="C192" s="64" t="s">
        <v>10</v>
      </c>
      <c r="D192" s="64" t="s">
        <v>11</v>
      </c>
      <c r="E192" s="64" t="s">
        <v>11</v>
      </c>
      <c r="F192" s="64" t="s">
        <v>11</v>
      </c>
    </row>
    <row r="193" spans="2:6" ht="15.75" thickBot="1" x14ac:dyDescent="0.3">
      <c r="B193" s="1000" t="s">
        <v>794</v>
      </c>
      <c r="C193" s="1001"/>
      <c r="D193" s="1001"/>
      <c r="E193" s="1001"/>
      <c r="F193" s="1002"/>
    </row>
    <row r="194" spans="2:6" x14ac:dyDescent="0.25">
      <c r="B194" s="998"/>
      <c r="C194" s="63">
        <v>2018</v>
      </c>
      <c r="D194" s="63">
        <v>2019</v>
      </c>
      <c r="E194" s="63">
        <v>2020</v>
      </c>
      <c r="F194" s="63">
        <v>2021</v>
      </c>
    </row>
    <row r="195" spans="2:6" ht="15.75" thickBot="1" x14ac:dyDescent="0.3">
      <c r="B195" s="999"/>
      <c r="C195" s="64" t="s">
        <v>10</v>
      </c>
      <c r="D195" s="64" t="s">
        <v>11</v>
      </c>
      <c r="E195" s="64" t="s">
        <v>11</v>
      </c>
      <c r="F195" s="64" t="s">
        <v>11</v>
      </c>
    </row>
    <row r="196" spans="2:6" ht="15.75" thickBot="1" x14ac:dyDescent="0.3">
      <c r="B196" s="65" t="s">
        <v>26</v>
      </c>
      <c r="C196" s="164">
        <v>2100</v>
      </c>
      <c r="D196" s="164">
        <v>2100</v>
      </c>
      <c r="E196" s="164">
        <v>3998</v>
      </c>
      <c r="F196" s="164">
        <v>4000</v>
      </c>
    </row>
    <row r="197" spans="2:6" ht="15.75" thickBot="1" x14ac:dyDescent="0.3">
      <c r="B197" s="65" t="s">
        <v>28</v>
      </c>
      <c r="C197" s="164">
        <v>450</v>
      </c>
      <c r="D197" s="164">
        <v>450</v>
      </c>
      <c r="E197" s="164">
        <v>850</v>
      </c>
      <c r="F197" s="164">
        <v>850</v>
      </c>
    </row>
    <row r="198" spans="2:6" ht="15.75" thickBot="1" x14ac:dyDescent="0.3">
      <c r="B198" s="65" t="s">
        <v>30</v>
      </c>
      <c r="C198" s="165">
        <v>574</v>
      </c>
      <c r="D198" s="164">
        <v>1500</v>
      </c>
      <c r="E198" s="164">
        <v>1500</v>
      </c>
      <c r="F198" s="164">
        <v>1500</v>
      </c>
    </row>
    <row r="199" spans="2:6" ht="15.75" thickBot="1" x14ac:dyDescent="0.3">
      <c r="B199" s="65" t="s">
        <v>32</v>
      </c>
      <c r="C199" s="165">
        <v>0</v>
      </c>
      <c r="D199" s="164">
        <v>0</v>
      </c>
      <c r="E199" s="164">
        <v>0</v>
      </c>
      <c r="F199" s="164">
        <v>0</v>
      </c>
    </row>
    <row r="200" spans="2:6" ht="15.75" thickBot="1" x14ac:dyDescent="0.3">
      <c r="B200" s="65" t="s">
        <v>34</v>
      </c>
      <c r="C200" s="165">
        <v>0</v>
      </c>
      <c r="D200" s="164">
        <v>0</v>
      </c>
      <c r="E200" s="164">
        <v>0</v>
      </c>
      <c r="F200" s="164">
        <v>0</v>
      </c>
    </row>
    <row r="201" spans="2:6" ht="15.75" thickBot="1" x14ac:dyDescent="0.3">
      <c r="B201" s="65" t="s">
        <v>36</v>
      </c>
      <c r="C201" s="165">
        <v>0</v>
      </c>
      <c r="D201" s="164">
        <v>0</v>
      </c>
      <c r="E201" s="164">
        <v>0</v>
      </c>
      <c r="F201" s="164">
        <v>0</v>
      </c>
    </row>
    <row r="202" spans="2:6" ht="15.75" thickBot="1" x14ac:dyDescent="0.3">
      <c r="B202" s="65" t="s">
        <v>38</v>
      </c>
      <c r="C202" s="165">
        <v>0</v>
      </c>
      <c r="D202" s="164">
        <v>0</v>
      </c>
      <c r="E202" s="164">
        <v>0</v>
      </c>
      <c r="F202" s="164">
        <v>0</v>
      </c>
    </row>
    <row r="203" spans="2:6" ht="30.75" thickBot="1" x14ac:dyDescent="0.3">
      <c r="B203" s="204" t="s">
        <v>71</v>
      </c>
      <c r="C203" s="205">
        <f>C202+C201+C200+C199+C198+C197+C196</f>
        <v>3124</v>
      </c>
      <c r="D203" s="205">
        <f>D202+D201+D200+D199+D198+D197+D196</f>
        <v>4050</v>
      </c>
      <c r="E203" s="205">
        <f>E202+E201+E200+E199+E198+E197+E196</f>
        <v>6348</v>
      </c>
      <c r="F203" s="205">
        <f>F202+F201+F200+F199+F198+F197+F196</f>
        <v>6350</v>
      </c>
    </row>
    <row r="204" spans="2:6" ht="15.75" thickBot="1" x14ac:dyDescent="0.3">
      <c r="B204" s="166" t="s">
        <v>41</v>
      </c>
      <c r="C204" s="167">
        <f>IF(C203-C186=0,0,"Error")</f>
        <v>0</v>
      </c>
      <c r="D204" s="167">
        <f>IF(D203-D186=0,0,"Error")</f>
        <v>0</v>
      </c>
      <c r="E204" s="167">
        <f>IF(E203-E186=0,0,"Error")</f>
        <v>0</v>
      </c>
      <c r="F204" s="167">
        <f>IF(F203-F186=0,0,"Error")</f>
        <v>0</v>
      </c>
    </row>
    <row r="205" spans="2:6" ht="15.75" thickBot="1" x14ac:dyDescent="0.3">
      <c r="B205" s="195" t="s">
        <v>824</v>
      </c>
      <c r="C205" s="989" t="s">
        <v>1240</v>
      </c>
      <c r="D205" s="990"/>
      <c r="E205" s="990"/>
      <c r="F205" s="991"/>
    </row>
    <row r="206" spans="2:6" ht="54" customHeight="1" thickBot="1" x14ac:dyDescent="0.3">
      <c r="B206" s="62" t="s">
        <v>17</v>
      </c>
      <c r="C206" s="1027" t="s">
        <v>1241</v>
      </c>
      <c r="D206" s="1028"/>
      <c r="E206" s="1028"/>
      <c r="F206" s="1029"/>
    </row>
    <row r="207" spans="2:6" ht="15.75" thickBot="1" x14ac:dyDescent="0.3">
      <c r="B207" s="62" t="s">
        <v>18</v>
      </c>
      <c r="C207" s="1603" t="s">
        <v>1242</v>
      </c>
      <c r="D207" s="1604"/>
      <c r="E207" s="1604"/>
      <c r="F207" s="1605"/>
    </row>
    <row r="208" spans="2:6" x14ac:dyDescent="0.25">
      <c r="B208" s="998"/>
      <c r="C208" s="63">
        <v>2018</v>
      </c>
      <c r="D208" s="63">
        <v>2019</v>
      </c>
      <c r="E208" s="63">
        <v>2020</v>
      </c>
      <c r="F208" s="63">
        <v>2021</v>
      </c>
    </row>
    <row r="209" spans="2:6" ht="15.75" thickBot="1" x14ac:dyDescent="0.3">
      <c r="B209" s="999"/>
      <c r="C209" s="64" t="s">
        <v>10</v>
      </c>
      <c r="D209" s="64" t="s">
        <v>11</v>
      </c>
      <c r="E209" s="64" t="s">
        <v>11</v>
      </c>
      <c r="F209" s="64" t="s">
        <v>11</v>
      </c>
    </row>
    <row r="210" spans="2:6" ht="15.75" thickBot="1" x14ac:dyDescent="0.3">
      <c r="B210" s="62" t="s">
        <v>19</v>
      </c>
      <c r="C210" s="161">
        <v>20</v>
      </c>
      <c r="D210" s="161">
        <v>25</v>
      </c>
      <c r="E210" s="161">
        <v>30</v>
      </c>
      <c r="F210" s="161">
        <v>30</v>
      </c>
    </row>
    <row r="211" spans="2:6" ht="15.75" thickBot="1" x14ac:dyDescent="0.3">
      <c r="B211" s="62" t="s">
        <v>20</v>
      </c>
      <c r="C211" s="161">
        <f>C226</f>
        <v>1850</v>
      </c>
      <c r="D211" s="161">
        <f t="shared" ref="D211:F211" si="21">D226</f>
        <v>3150</v>
      </c>
      <c r="E211" s="161">
        <f t="shared" si="21"/>
        <v>4180</v>
      </c>
      <c r="F211" s="161">
        <f t="shared" si="21"/>
        <v>4180</v>
      </c>
    </row>
    <row r="212" spans="2:6" ht="15.75" thickBot="1" x14ac:dyDescent="0.3">
      <c r="B212" s="62" t="s">
        <v>21</v>
      </c>
      <c r="C212" s="161">
        <f>C211/C210</f>
        <v>92.5</v>
      </c>
      <c r="D212" s="161">
        <f t="shared" ref="D212:F212" si="22">D211/D210</f>
        <v>126</v>
      </c>
      <c r="E212" s="161">
        <f t="shared" si="22"/>
        <v>139.33333333333334</v>
      </c>
      <c r="F212" s="161">
        <f t="shared" si="22"/>
        <v>139.33333333333334</v>
      </c>
    </row>
    <row r="213" spans="2:6" ht="15.75" thickBot="1" x14ac:dyDescent="0.3">
      <c r="B213" s="62" t="s">
        <v>22</v>
      </c>
      <c r="C213" s="636"/>
      <c r="D213" s="162">
        <f>D210/C210-1</f>
        <v>0.25</v>
      </c>
      <c r="E213" s="162">
        <f t="shared" ref="E213:F215" si="23">E210/D210-1</f>
        <v>0.19999999999999996</v>
      </c>
      <c r="F213" s="162">
        <f t="shared" si="23"/>
        <v>0</v>
      </c>
    </row>
    <row r="214" spans="2:6" ht="15.75" thickBot="1" x14ac:dyDescent="0.3">
      <c r="B214" s="62" t="s">
        <v>24</v>
      </c>
      <c r="C214" s="636"/>
      <c r="D214" s="162">
        <f>D211/C211-1</f>
        <v>0.70270270270270263</v>
      </c>
      <c r="E214" s="162">
        <f t="shared" si="23"/>
        <v>0.32698412698412693</v>
      </c>
      <c r="F214" s="162">
        <f t="shared" si="23"/>
        <v>0</v>
      </c>
    </row>
    <row r="215" spans="2:6" ht="15.75" thickBot="1" x14ac:dyDescent="0.3">
      <c r="B215" s="62" t="s">
        <v>25</v>
      </c>
      <c r="C215" s="636"/>
      <c r="D215" s="162">
        <f>D212/C212-1</f>
        <v>0.36216216216216224</v>
      </c>
      <c r="E215" s="162">
        <f t="shared" si="23"/>
        <v>0.10582010582010581</v>
      </c>
      <c r="F215" s="162">
        <f t="shared" si="23"/>
        <v>0</v>
      </c>
    </row>
    <row r="216" spans="2:6" ht="15.75" thickBot="1" x14ac:dyDescent="0.3">
      <c r="B216" s="1000" t="s">
        <v>797</v>
      </c>
      <c r="C216" s="1001"/>
      <c r="D216" s="1001"/>
      <c r="E216" s="1001"/>
      <c r="F216" s="1002"/>
    </row>
    <row r="217" spans="2:6" x14ac:dyDescent="0.25">
      <c r="B217" s="998"/>
      <c r="C217" s="63">
        <v>2018</v>
      </c>
      <c r="D217" s="63">
        <v>2019</v>
      </c>
      <c r="E217" s="63">
        <v>2020</v>
      </c>
      <c r="F217" s="63">
        <v>2021</v>
      </c>
    </row>
    <row r="218" spans="2:6" ht="15.75" thickBot="1" x14ac:dyDescent="0.3">
      <c r="B218" s="999"/>
      <c r="C218" s="64" t="s">
        <v>10</v>
      </c>
      <c r="D218" s="64" t="s">
        <v>11</v>
      </c>
      <c r="E218" s="64" t="s">
        <v>11</v>
      </c>
      <c r="F218" s="64" t="s">
        <v>11</v>
      </c>
    </row>
    <row r="219" spans="2:6" ht="15.75" thickBot="1" x14ac:dyDescent="0.3">
      <c r="B219" s="65" t="s">
        <v>26</v>
      </c>
      <c r="C219" s="164">
        <v>1300</v>
      </c>
      <c r="D219" s="164">
        <v>1800</v>
      </c>
      <c r="E219" s="164">
        <v>2500</v>
      </c>
      <c r="F219" s="164">
        <v>2500</v>
      </c>
    </row>
    <row r="220" spans="2:6" ht="15.75" thickBot="1" x14ac:dyDescent="0.3">
      <c r="B220" s="65" t="s">
        <v>28</v>
      </c>
      <c r="C220" s="164">
        <v>250</v>
      </c>
      <c r="D220" s="164">
        <v>350</v>
      </c>
      <c r="E220" s="164">
        <v>480</v>
      </c>
      <c r="F220" s="164">
        <v>480</v>
      </c>
    </row>
    <row r="221" spans="2:6" ht="15.75" thickBot="1" x14ac:dyDescent="0.3">
      <c r="B221" s="65" t="s">
        <v>30</v>
      </c>
      <c r="C221" s="165">
        <v>300</v>
      </c>
      <c r="D221" s="164">
        <v>1000</v>
      </c>
      <c r="E221" s="164">
        <v>1200</v>
      </c>
      <c r="F221" s="164">
        <v>1200</v>
      </c>
    </row>
    <row r="222" spans="2:6" ht="15.75" thickBot="1" x14ac:dyDescent="0.3">
      <c r="B222" s="65" t="s">
        <v>32</v>
      </c>
      <c r="C222" s="165">
        <v>0</v>
      </c>
      <c r="D222" s="164">
        <v>0</v>
      </c>
      <c r="E222" s="164">
        <v>0</v>
      </c>
      <c r="F222" s="164">
        <v>0</v>
      </c>
    </row>
    <row r="223" spans="2:6" ht="15.75" thickBot="1" x14ac:dyDescent="0.3">
      <c r="B223" s="65" t="s">
        <v>34</v>
      </c>
      <c r="C223" s="165">
        <v>0</v>
      </c>
      <c r="D223" s="164">
        <v>0</v>
      </c>
      <c r="E223" s="164">
        <v>0</v>
      </c>
      <c r="F223" s="164">
        <v>0</v>
      </c>
    </row>
    <row r="224" spans="2:6" ht="15.75" thickBot="1" x14ac:dyDescent="0.3">
      <c r="B224" s="65" t="s">
        <v>36</v>
      </c>
      <c r="C224" s="165">
        <v>0</v>
      </c>
      <c r="D224" s="164">
        <v>0</v>
      </c>
      <c r="E224" s="164">
        <v>0</v>
      </c>
      <c r="F224" s="164">
        <v>0</v>
      </c>
    </row>
    <row r="225" spans="2:6" ht="15.75" thickBot="1" x14ac:dyDescent="0.3">
      <c r="B225" s="65" t="s">
        <v>38</v>
      </c>
      <c r="C225" s="165">
        <v>0</v>
      </c>
      <c r="D225" s="164">
        <v>0</v>
      </c>
      <c r="E225" s="164">
        <v>0</v>
      </c>
      <c r="F225" s="164">
        <v>0</v>
      </c>
    </row>
    <row r="226" spans="2:6" ht="30.75" thickBot="1" x14ac:dyDescent="0.3">
      <c r="B226" s="204" t="s">
        <v>71</v>
      </c>
      <c r="C226" s="219">
        <f>C225+C223+C224+C222+C221+C220+C219</f>
        <v>1850</v>
      </c>
      <c r="D226" s="219">
        <f>D225+D223+D224+D222+D221+D220+D219</f>
        <v>3150</v>
      </c>
      <c r="E226" s="219">
        <f>E225+E223+E224+E222+E221+E220+E219</f>
        <v>4180</v>
      </c>
      <c r="F226" s="219">
        <f>F225+F223+F224+F222+F221+F220+F219</f>
        <v>4180</v>
      </c>
    </row>
    <row r="227" spans="2:6" ht="15.75" thickBot="1" x14ac:dyDescent="0.3">
      <c r="B227" s="166" t="s">
        <v>41</v>
      </c>
      <c r="C227" s="167">
        <f>IF(C226-C211=0,0,"Error")</f>
        <v>0</v>
      </c>
      <c r="D227" s="167">
        <f>IF(D226-D211=0,0,"Error")</f>
        <v>0</v>
      </c>
      <c r="E227" s="167">
        <f>IF(E226-E211=0,0,"Error")</f>
        <v>0</v>
      </c>
      <c r="F227" s="167">
        <f>IF(F226-F211=0,0,"Error")</f>
        <v>0</v>
      </c>
    </row>
    <row r="228" spans="2:6" ht="15.75" thickBot="1" x14ac:dyDescent="0.3">
      <c r="B228" s="195" t="s">
        <v>1262</v>
      </c>
      <c r="C228" s="989" t="s">
        <v>1243</v>
      </c>
      <c r="D228" s="990"/>
      <c r="E228" s="990"/>
      <c r="F228" s="991"/>
    </row>
    <row r="229" spans="2:6" ht="15.75" thickBot="1" x14ac:dyDescent="0.3">
      <c r="B229" s="62" t="s">
        <v>17</v>
      </c>
      <c r="C229" s="1027" t="s">
        <v>1244</v>
      </c>
      <c r="D229" s="1028"/>
      <c r="E229" s="1028"/>
      <c r="F229" s="1029"/>
    </row>
    <row r="230" spans="2:6" ht="15.75" thickBot="1" x14ac:dyDescent="0.3">
      <c r="B230" s="62" t="s">
        <v>18</v>
      </c>
      <c r="C230" s="1603" t="s">
        <v>1245</v>
      </c>
      <c r="D230" s="1604"/>
      <c r="E230" s="1604"/>
      <c r="F230" s="1605"/>
    </row>
    <row r="231" spans="2:6" x14ac:dyDescent="0.25">
      <c r="B231" s="998"/>
      <c r="C231" s="63">
        <v>2018</v>
      </c>
      <c r="D231" s="63">
        <v>2019</v>
      </c>
      <c r="E231" s="63">
        <v>2020</v>
      </c>
      <c r="F231" s="63">
        <v>2021</v>
      </c>
    </row>
    <row r="232" spans="2:6" ht="15.75" thickBot="1" x14ac:dyDescent="0.3">
      <c r="B232" s="999"/>
      <c r="C232" s="64" t="s">
        <v>10</v>
      </c>
      <c r="D232" s="64" t="s">
        <v>11</v>
      </c>
      <c r="E232" s="64" t="s">
        <v>11</v>
      </c>
      <c r="F232" s="64" t="s">
        <v>11</v>
      </c>
    </row>
    <row r="233" spans="2:6" ht="15.75" thickBot="1" x14ac:dyDescent="0.3">
      <c r="B233" s="62" t="s">
        <v>19</v>
      </c>
      <c r="C233" s="161">
        <v>8</v>
      </c>
      <c r="D233" s="161">
        <v>10</v>
      </c>
      <c r="E233" s="161">
        <v>10</v>
      </c>
      <c r="F233" s="161">
        <v>10</v>
      </c>
    </row>
    <row r="234" spans="2:6" ht="15.75" thickBot="1" x14ac:dyDescent="0.3">
      <c r="B234" s="62" t="s">
        <v>20</v>
      </c>
      <c r="C234" s="161">
        <f>C249</f>
        <v>2336</v>
      </c>
      <c r="D234" s="161">
        <f t="shared" ref="D234:F234" si="24">D249</f>
        <v>2570</v>
      </c>
      <c r="E234" s="161">
        <f t="shared" si="24"/>
        <v>4815</v>
      </c>
      <c r="F234" s="161">
        <f t="shared" si="24"/>
        <v>4700</v>
      </c>
    </row>
    <row r="235" spans="2:6" ht="15.75" thickBot="1" x14ac:dyDescent="0.3">
      <c r="B235" s="62" t="s">
        <v>21</v>
      </c>
      <c r="C235" s="161">
        <f>C234/C233</f>
        <v>292</v>
      </c>
      <c r="D235" s="161">
        <f t="shared" ref="D235:F235" si="25">D234/D233</f>
        <v>257</v>
      </c>
      <c r="E235" s="161">
        <f t="shared" si="25"/>
        <v>481.5</v>
      </c>
      <c r="F235" s="161">
        <f t="shared" si="25"/>
        <v>470</v>
      </c>
    </row>
    <row r="236" spans="2:6" ht="15.75" thickBot="1" x14ac:dyDescent="0.3">
      <c r="B236" s="62" t="s">
        <v>22</v>
      </c>
      <c r="C236" s="636"/>
      <c r="D236" s="162">
        <f>D233/C233-1</f>
        <v>0.25</v>
      </c>
      <c r="E236" s="162">
        <f t="shared" ref="E236:F238" si="26">E233/D233-1</f>
        <v>0</v>
      </c>
      <c r="F236" s="162">
        <f t="shared" si="26"/>
        <v>0</v>
      </c>
    </row>
    <row r="237" spans="2:6" ht="15.75" thickBot="1" x14ac:dyDescent="0.3">
      <c r="B237" s="62" t="s">
        <v>24</v>
      </c>
      <c r="C237" s="636"/>
      <c r="D237" s="162">
        <f>D234/C234-1</f>
        <v>0.10017123287671237</v>
      </c>
      <c r="E237" s="162">
        <f t="shared" si="26"/>
        <v>0.87354085603112841</v>
      </c>
      <c r="F237" s="162">
        <f t="shared" si="26"/>
        <v>-2.3883696780893082E-2</v>
      </c>
    </row>
    <row r="238" spans="2:6" ht="15.75" thickBot="1" x14ac:dyDescent="0.3">
      <c r="B238" s="62" t="s">
        <v>25</v>
      </c>
      <c r="C238" s="636"/>
      <c r="D238" s="162">
        <f>D235/C235-1</f>
        <v>-0.11986301369863017</v>
      </c>
      <c r="E238" s="162">
        <f t="shared" si="26"/>
        <v>0.87354085603112841</v>
      </c>
      <c r="F238" s="162">
        <f t="shared" si="26"/>
        <v>-2.3883696780893082E-2</v>
      </c>
    </row>
    <row r="239" spans="2:6" ht="15.75" thickBot="1" x14ac:dyDescent="0.3">
      <c r="B239" s="1000" t="s">
        <v>799</v>
      </c>
      <c r="C239" s="1001"/>
      <c r="D239" s="1001"/>
      <c r="E239" s="1001"/>
      <c r="F239" s="1002"/>
    </row>
    <row r="240" spans="2:6" x14ac:dyDescent="0.25">
      <c r="B240" s="998"/>
      <c r="C240" s="63">
        <v>2018</v>
      </c>
      <c r="D240" s="63">
        <v>2019</v>
      </c>
      <c r="E240" s="63">
        <v>2020</v>
      </c>
      <c r="F240" s="63">
        <v>2021</v>
      </c>
    </row>
    <row r="241" spans="2:6" ht="15.75" thickBot="1" x14ac:dyDescent="0.3">
      <c r="B241" s="999"/>
      <c r="C241" s="64" t="s">
        <v>10</v>
      </c>
      <c r="D241" s="64" t="s">
        <v>11</v>
      </c>
      <c r="E241" s="64" t="s">
        <v>11</v>
      </c>
      <c r="F241" s="64" t="s">
        <v>11</v>
      </c>
    </row>
    <row r="242" spans="2:6" ht="15.75" thickBot="1" x14ac:dyDescent="0.3">
      <c r="B242" s="65" t="s">
        <v>26</v>
      </c>
      <c r="C242" s="164">
        <v>1800</v>
      </c>
      <c r="D242" s="164">
        <v>1800</v>
      </c>
      <c r="E242" s="164">
        <v>3698</v>
      </c>
      <c r="F242" s="164">
        <v>3500</v>
      </c>
    </row>
    <row r="243" spans="2:6" ht="15.75" thickBot="1" x14ac:dyDescent="0.3">
      <c r="B243" s="65" t="s">
        <v>28</v>
      </c>
      <c r="C243" s="164">
        <v>271</v>
      </c>
      <c r="D243" s="164">
        <v>270</v>
      </c>
      <c r="E243" s="164">
        <v>617</v>
      </c>
      <c r="F243" s="164">
        <v>600</v>
      </c>
    </row>
    <row r="244" spans="2:6" ht="15.75" thickBot="1" x14ac:dyDescent="0.3">
      <c r="B244" s="65" t="s">
        <v>30</v>
      </c>
      <c r="C244" s="165">
        <v>265</v>
      </c>
      <c r="D244" s="164">
        <v>500</v>
      </c>
      <c r="E244" s="164">
        <v>500</v>
      </c>
      <c r="F244" s="164">
        <v>600</v>
      </c>
    </row>
    <row r="245" spans="2:6" ht="15.75" thickBot="1" x14ac:dyDescent="0.3">
      <c r="B245" s="65" t="s">
        <v>32</v>
      </c>
      <c r="C245" s="165">
        <v>0</v>
      </c>
      <c r="D245" s="164">
        <v>0</v>
      </c>
      <c r="E245" s="164">
        <v>0</v>
      </c>
      <c r="F245" s="164">
        <v>0</v>
      </c>
    </row>
    <row r="246" spans="2:6" ht="15.75" thickBot="1" x14ac:dyDescent="0.3">
      <c r="B246" s="65" t="s">
        <v>34</v>
      </c>
      <c r="C246" s="165">
        <v>0</v>
      </c>
      <c r="D246" s="164">
        <v>0</v>
      </c>
      <c r="E246" s="164">
        <v>0</v>
      </c>
      <c r="F246" s="164">
        <v>0</v>
      </c>
    </row>
    <row r="247" spans="2:6" ht="15.75" thickBot="1" x14ac:dyDescent="0.3">
      <c r="B247" s="65" t="s">
        <v>36</v>
      </c>
      <c r="C247" s="165">
        <v>0</v>
      </c>
      <c r="D247" s="164">
        <v>0</v>
      </c>
      <c r="E247" s="164">
        <v>0</v>
      </c>
      <c r="F247" s="164">
        <v>0</v>
      </c>
    </row>
    <row r="248" spans="2:6" ht="15.75" thickBot="1" x14ac:dyDescent="0.3">
      <c r="B248" s="65" t="s">
        <v>38</v>
      </c>
      <c r="C248" s="165">
        <v>0</v>
      </c>
      <c r="D248" s="164">
        <v>0</v>
      </c>
      <c r="E248" s="164">
        <v>0</v>
      </c>
      <c r="F248" s="164">
        <v>0</v>
      </c>
    </row>
    <row r="249" spans="2:6" ht="30.75" thickBot="1" x14ac:dyDescent="0.3">
      <c r="B249" s="204" t="s">
        <v>71</v>
      </c>
      <c r="C249" s="219">
        <f>C248+C246+C247+C245+C244+C243+C242</f>
        <v>2336</v>
      </c>
      <c r="D249" s="219">
        <f>D248+D246+D247+D245+D244+D243+D242</f>
        <v>2570</v>
      </c>
      <c r="E249" s="219">
        <f>E248+E246+E247+E245+E244+E243+E242</f>
        <v>4815</v>
      </c>
      <c r="F249" s="219">
        <f>F248+F246+F247+F245+F244+F243+F242</f>
        <v>4700</v>
      </c>
    </row>
    <row r="250" spans="2:6" ht="15.75" thickBot="1" x14ac:dyDescent="0.3">
      <c r="B250" s="166" t="s">
        <v>41</v>
      </c>
      <c r="C250" s="167">
        <f>IF(C249-C234=0,0,"Error")</f>
        <v>0</v>
      </c>
      <c r="D250" s="167">
        <f>IF(D249-D234=0,0,"Error")</f>
        <v>0</v>
      </c>
      <c r="E250" s="167">
        <f>IF(E249-E234=0,0,"Error")</f>
        <v>0</v>
      </c>
      <c r="F250" s="167">
        <f>IF(F249-F234=0,0,"Error")</f>
        <v>0</v>
      </c>
    </row>
    <row r="251" spans="2:6" ht="15.75" thickBot="1" x14ac:dyDescent="0.3">
      <c r="B251" s="218" t="s">
        <v>80</v>
      </c>
      <c r="C251" s="1052" t="s">
        <v>1263</v>
      </c>
      <c r="D251" s="1053"/>
      <c r="E251" s="1053"/>
      <c r="F251" s="1054"/>
    </row>
    <row r="252" spans="2:6" ht="15.75" thickBot="1" x14ac:dyDescent="0.3">
      <c r="B252" s="1615" t="s">
        <v>616</v>
      </c>
      <c r="C252" s="1616"/>
      <c r="D252" s="1616"/>
      <c r="E252" s="1616"/>
      <c r="F252" s="1617"/>
    </row>
    <row r="253" spans="2:6" ht="15.75" thickBot="1" x14ac:dyDescent="0.3">
      <c r="B253" s="989" t="s">
        <v>104</v>
      </c>
      <c r="C253" s="990"/>
      <c r="D253" s="990"/>
      <c r="E253" s="990"/>
      <c r="F253" s="991"/>
    </row>
    <row r="254" spans="2:6" ht="15.75" thickBot="1" x14ac:dyDescent="0.3">
      <c r="B254" s="160" t="s">
        <v>16</v>
      </c>
      <c r="C254" s="1000" t="s">
        <v>1246</v>
      </c>
      <c r="D254" s="1001"/>
      <c r="E254" s="1001"/>
      <c r="F254" s="1002"/>
    </row>
    <row r="255" spans="2:6" ht="43.5" customHeight="1" thickBot="1" x14ac:dyDescent="0.3">
      <c r="B255" s="62" t="s">
        <v>17</v>
      </c>
      <c r="C255" s="1027" t="s">
        <v>1247</v>
      </c>
      <c r="D255" s="1028"/>
      <c r="E255" s="1028"/>
      <c r="F255" s="1029"/>
    </row>
    <row r="256" spans="2:6" ht="15.75" thickBot="1" x14ac:dyDescent="0.3">
      <c r="B256" s="62" t="s">
        <v>18</v>
      </c>
      <c r="C256" s="995" t="s">
        <v>1248</v>
      </c>
      <c r="D256" s="996"/>
      <c r="E256" s="996"/>
      <c r="F256" s="997"/>
    </row>
    <row r="257" spans="2:6" x14ac:dyDescent="0.25">
      <c r="B257" s="998"/>
      <c r="C257" s="63">
        <v>2018</v>
      </c>
      <c r="D257" s="63">
        <v>2019</v>
      </c>
      <c r="E257" s="63">
        <v>2020</v>
      </c>
      <c r="F257" s="63">
        <v>2021</v>
      </c>
    </row>
    <row r="258" spans="2:6" ht="15.75" thickBot="1" x14ac:dyDescent="0.3">
      <c r="B258" s="999"/>
      <c r="C258" s="64" t="s">
        <v>10</v>
      </c>
      <c r="D258" s="64" t="s">
        <v>11</v>
      </c>
      <c r="E258" s="64" t="s">
        <v>11</v>
      </c>
      <c r="F258" s="64" t="s">
        <v>11</v>
      </c>
    </row>
    <row r="259" spans="2:6" ht="15.75" thickBot="1" x14ac:dyDescent="0.3">
      <c r="B259" s="62" t="s">
        <v>19</v>
      </c>
      <c r="C259" s="161">
        <v>800</v>
      </c>
      <c r="D259" s="161">
        <v>600</v>
      </c>
      <c r="E259" s="161">
        <v>600</v>
      </c>
      <c r="F259" s="161">
        <v>600</v>
      </c>
    </row>
    <row r="260" spans="2:6" ht="15.75" thickBot="1" x14ac:dyDescent="0.3">
      <c r="B260" s="62" t="s">
        <v>20</v>
      </c>
      <c r="C260" s="194">
        <f>C275</f>
        <v>4930</v>
      </c>
      <c r="D260" s="194">
        <f t="shared" ref="D260:F260" si="27">D275</f>
        <v>4980</v>
      </c>
      <c r="E260" s="194">
        <f t="shared" si="27"/>
        <v>6248</v>
      </c>
      <c r="F260" s="194">
        <f t="shared" si="27"/>
        <v>6950</v>
      </c>
    </row>
    <row r="261" spans="2:6" ht="15.75" thickBot="1" x14ac:dyDescent="0.3">
      <c r="B261" s="62" t="s">
        <v>21</v>
      </c>
      <c r="C261" s="161">
        <f>C260/C259</f>
        <v>6.1624999999999996</v>
      </c>
      <c r="D261" s="161">
        <f t="shared" ref="D261:F261" si="28">D260/D259</f>
        <v>8.3000000000000007</v>
      </c>
      <c r="E261" s="161">
        <f t="shared" si="28"/>
        <v>10.413333333333334</v>
      </c>
      <c r="F261" s="161">
        <f t="shared" si="28"/>
        <v>11.583333333333334</v>
      </c>
    </row>
    <row r="262" spans="2:6" ht="15.75" thickBot="1" x14ac:dyDescent="0.3">
      <c r="B262" s="62" t="s">
        <v>22</v>
      </c>
      <c r="C262" s="636" t="s">
        <v>23</v>
      </c>
      <c r="D262" s="162">
        <f>D259/C259-1</f>
        <v>-0.25</v>
      </c>
      <c r="E262" s="162">
        <f t="shared" ref="E262:F264" si="29">E259/D259-1</f>
        <v>0</v>
      </c>
      <c r="F262" s="162">
        <f t="shared" si="29"/>
        <v>0</v>
      </c>
    </row>
    <row r="263" spans="2:6" ht="15.75" thickBot="1" x14ac:dyDescent="0.3">
      <c r="B263" s="62" t="s">
        <v>24</v>
      </c>
      <c r="C263" s="636" t="s">
        <v>23</v>
      </c>
      <c r="D263" s="162">
        <f>D260/C260-1</f>
        <v>1.0141987829614507E-2</v>
      </c>
      <c r="E263" s="162">
        <f t="shared" si="29"/>
        <v>0.25461847389558234</v>
      </c>
      <c r="F263" s="162">
        <f t="shared" si="29"/>
        <v>0.11235595390524966</v>
      </c>
    </row>
    <row r="264" spans="2:6" ht="15.75" thickBot="1" x14ac:dyDescent="0.3">
      <c r="B264" s="62" t="s">
        <v>25</v>
      </c>
      <c r="C264" s="636" t="s">
        <v>23</v>
      </c>
      <c r="D264" s="162">
        <f>D261/C261-1</f>
        <v>0.34685598377281956</v>
      </c>
      <c r="E264" s="162">
        <f t="shared" si="29"/>
        <v>0.25461847389558234</v>
      </c>
      <c r="F264" s="162">
        <f t="shared" si="29"/>
        <v>0.11235595390524966</v>
      </c>
    </row>
    <row r="265" spans="2:6" ht="15.75" thickBot="1" x14ac:dyDescent="0.3">
      <c r="B265" s="1000" t="s">
        <v>784</v>
      </c>
      <c r="C265" s="1001"/>
      <c r="D265" s="1001"/>
      <c r="E265" s="1001"/>
      <c r="F265" s="1002"/>
    </row>
    <row r="266" spans="2:6" x14ac:dyDescent="0.25">
      <c r="B266" s="998"/>
      <c r="C266" s="63">
        <v>2018</v>
      </c>
      <c r="D266" s="63">
        <v>2019</v>
      </c>
      <c r="E266" s="63">
        <v>2020</v>
      </c>
      <c r="F266" s="63">
        <v>2021</v>
      </c>
    </row>
    <row r="267" spans="2:6" ht="15.75" thickBot="1" x14ac:dyDescent="0.3">
      <c r="B267" s="999"/>
      <c r="C267" s="64" t="s">
        <v>10</v>
      </c>
      <c r="D267" s="64" t="s">
        <v>11</v>
      </c>
      <c r="E267" s="64" t="s">
        <v>11</v>
      </c>
      <c r="F267" s="64" t="s">
        <v>11</v>
      </c>
    </row>
    <row r="268" spans="2:6" ht="15.75" thickBot="1" x14ac:dyDescent="0.3">
      <c r="B268" s="65" t="s">
        <v>26</v>
      </c>
      <c r="C268" s="164">
        <v>3000</v>
      </c>
      <c r="D268" s="164">
        <v>3000</v>
      </c>
      <c r="E268" s="164">
        <v>3898</v>
      </c>
      <c r="F268" s="164">
        <v>4500</v>
      </c>
    </row>
    <row r="269" spans="2:6" ht="15.75" thickBot="1" x14ac:dyDescent="0.3">
      <c r="B269" s="65" t="s">
        <v>28</v>
      </c>
      <c r="C269" s="164">
        <v>480</v>
      </c>
      <c r="D269" s="164">
        <v>480</v>
      </c>
      <c r="E269" s="164">
        <v>650</v>
      </c>
      <c r="F269" s="164">
        <v>650</v>
      </c>
    </row>
    <row r="270" spans="2:6" ht="15.75" thickBot="1" x14ac:dyDescent="0.3">
      <c r="B270" s="65" t="s">
        <v>30</v>
      </c>
      <c r="C270" s="165">
        <v>1450</v>
      </c>
      <c r="D270" s="164">
        <v>1500</v>
      </c>
      <c r="E270" s="164">
        <v>1700</v>
      </c>
      <c r="F270" s="164">
        <v>1800</v>
      </c>
    </row>
    <row r="271" spans="2:6" ht="15.75" thickBot="1" x14ac:dyDescent="0.3">
      <c r="B271" s="65" t="s">
        <v>32</v>
      </c>
      <c r="C271" s="165">
        <v>0</v>
      </c>
      <c r="D271" s="164">
        <v>0</v>
      </c>
      <c r="E271" s="164">
        <v>0</v>
      </c>
      <c r="F271" s="164">
        <v>0</v>
      </c>
    </row>
    <row r="272" spans="2:6" ht="15.75" thickBot="1" x14ac:dyDescent="0.3">
      <c r="B272" s="65" t="s">
        <v>34</v>
      </c>
      <c r="C272" s="165">
        <v>0</v>
      </c>
      <c r="D272" s="164">
        <v>0</v>
      </c>
      <c r="E272" s="164">
        <v>0</v>
      </c>
      <c r="F272" s="164">
        <v>0</v>
      </c>
    </row>
    <row r="273" spans="2:6" ht="15.75" thickBot="1" x14ac:dyDescent="0.3">
      <c r="B273" s="65" t="s">
        <v>36</v>
      </c>
      <c r="C273" s="165">
        <v>0</v>
      </c>
      <c r="D273" s="164">
        <v>0</v>
      </c>
      <c r="E273" s="164">
        <v>0</v>
      </c>
      <c r="F273" s="164">
        <v>0</v>
      </c>
    </row>
    <row r="274" spans="2:6" ht="15.75" thickBot="1" x14ac:dyDescent="0.3">
      <c r="B274" s="65" t="s">
        <v>38</v>
      </c>
      <c r="C274" s="165">
        <v>0</v>
      </c>
      <c r="D274" s="164">
        <v>0</v>
      </c>
      <c r="E274" s="164">
        <v>0</v>
      </c>
      <c r="F274" s="164">
        <v>0</v>
      </c>
    </row>
    <row r="275" spans="2:6" ht="15.75" thickBot="1" x14ac:dyDescent="0.3">
      <c r="B275" s="66" t="s">
        <v>40</v>
      </c>
      <c r="C275" s="165">
        <f>C274+C273+C272+C271+C270+C269+C268</f>
        <v>4930</v>
      </c>
      <c r="D275" s="165">
        <f>D274+D273+D272+D271+D270+D269+D268</f>
        <v>4980</v>
      </c>
      <c r="E275" s="165">
        <f>E274+E273+E272+E271+E270+E269+E268</f>
        <v>6248</v>
      </c>
      <c r="F275" s="165">
        <f>F274+F273+F272+F271+F270+F269+F268</f>
        <v>6950</v>
      </c>
    </row>
    <row r="276" spans="2:6" ht="15.75" thickBot="1" x14ac:dyDescent="0.3">
      <c r="B276" s="166" t="s">
        <v>41</v>
      </c>
      <c r="C276" s="167">
        <f>IF(C275-C260=0,0,"Error")</f>
        <v>0</v>
      </c>
      <c r="D276" s="167">
        <f>IF(D275-D260=0,0,"Error")</f>
        <v>0</v>
      </c>
      <c r="E276" s="167">
        <f>IF(E275-E260=0,0,"Error")</f>
        <v>0</v>
      </c>
      <c r="F276" s="167">
        <f>IF(F275-F260=0,0,"Error")</f>
        <v>0</v>
      </c>
    </row>
    <row r="277" spans="2:6" ht="15.75" thickBot="1" x14ac:dyDescent="0.3">
      <c r="B277" s="218" t="s">
        <v>775</v>
      </c>
      <c r="C277" s="1000" t="s">
        <v>1249</v>
      </c>
      <c r="D277" s="1001"/>
      <c r="E277" s="1001"/>
      <c r="F277" s="1002"/>
    </row>
    <row r="278" spans="2:6" ht="15.75" thickBot="1" x14ac:dyDescent="0.3">
      <c r="B278" s="1615" t="s">
        <v>898</v>
      </c>
      <c r="C278" s="1616"/>
      <c r="D278" s="1616"/>
      <c r="E278" s="1616"/>
      <c r="F278" s="1617"/>
    </row>
    <row r="279" spans="2:6" ht="15.75" thickBot="1" x14ac:dyDescent="0.3">
      <c r="B279" s="989" t="s">
        <v>104</v>
      </c>
      <c r="C279" s="990"/>
      <c r="D279" s="990"/>
      <c r="E279" s="990"/>
      <c r="F279" s="991"/>
    </row>
    <row r="280" spans="2:6" ht="15.75" thickBot="1" x14ac:dyDescent="0.3">
      <c r="B280" s="160" t="s">
        <v>16</v>
      </c>
      <c r="C280" s="1000"/>
      <c r="D280" s="1001"/>
      <c r="E280" s="1001"/>
      <c r="F280" s="1002"/>
    </row>
    <row r="281" spans="2:6" ht="15.75" thickBot="1" x14ac:dyDescent="0.3">
      <c r="B281" s="62" t="s">
        <v>17</v>
      </c>
      <c r="C281" s="1027"/>
      <c r="D281" s="1028"/>
      <c r="E281" s="1028"/>
      <c r="F281" s="1029"/>
    </row>
    <row r="282" spans="2:6" ht="15.75" thickBot="1" x14ac:dyDescent="0.3">
      <c r="B282" s="62" t="s">
        <v>18</v>
      </c>
      <c r="C282" s="1603"/>
      <c r="D282" s="1604"/>
      <c r="E282" s="1604"/>
      <c r="F282" s="1605"/>
    </row>
    <row r="283" spans="2:6" x14ac:dyDescent="0.25">
      <c r="B283" s="998"/>
      <c r="C283" s="63">
        <v>2018</v>
      </c>
      <c r="D283" s="63">
        <v>2019</v>
      </c>
      <c r="E283" s="63">
        <v>2020</v>
      </c>
      <c r="F283" s="63">
        <v>2021</v>
      </c>
    </row>
    <row r="284" spans="2:6" ht="15.75" thickBot="1" x14ac:dyDescent="0.3">
      <c r="B284" s="999"/>
      <c r="C284" s="64" t="s">
        <v>10</v>
      </c>
      <c r="D284" s="64" t="s">
        <v>11</v>
      </c>
      <c r="E284" s="64" t="s">
        <v>11</v>
      </c>
      <c r="F284" s="64" t="s">
        <v>11</v>
      </c>
    </row>
    <row r="285" spans="2:6" ht="15.75" thickBot="1" x14ac:dyDescent="0.3">
      <c r="B285" s="62" t="s">
        <v>19</v>
      </c>
      <c r="C285" s="161">
        <v>0</v>
      </c>
      <c r="D285" s="161">
        <v>0</v>
      </c>
      <c r="E285" s="161">
        <v>0</v>
      </c>
      <c r="F285" s="161">
        <v>0</v>
      </c>
    </row>
    <row r="286" spans="2:6" ht="15.75" thickBot="1" x14ac:dyDescent="0.3">
      <c r="B286" s="62" t="s">
        <v>20</v>
      </c>
      <c r="C286" s="161">
        <f>C301</f>
        <v>0</v>
      </c>
      <c r="D286" s="161">
        <f t="shared" ref="D286:F286" si="30">D301</f>
        <v>0</v>
      </c>
      <c r="E286" s="161">
        <f t="shared" si="30"/>
        <v>0</v>
      </c>
      <c r="F286" s="161">
        <f t="shared" si="30"/>
        <v>0</v>
      </c>
    </row>
    <row r="287" spans="2:6" ht="15.75" thickBot="1" x14ac:dyDescent="0.3">
      <c r="B287" s="62" t="s">
        <v>21</v>
      </c>
      <c r="C287" s="161" t="e">
        <f>C286/C285</f>
        <v>#DIV/0!</v>
      </c>
      <c r="D287" s="161" t="e">
        <f t="shared" ref="D287:F287" si="31">D286/D285</f>
        <v>#DIV/0!</v>
      </c>
      <c r="E287" s="161" t="e">
        <f t="shared" si="31"/>
        <v>#DIV/0!</v>
      </c>
      <c r="F287" s="161" t="e">
        <f t="shared" si="31"/>
        <v>#DIV/0!</v>
      </c>
    </row>
    <row r="288" spans="2:6" ht="15.75" thickBot="1" x14ac:dyDescent="0.3">
      <c r="B288" s="62" t="s">
        <v>22</v>
      </c>
      <c r="C288" s="636" t="s">
        <v>23</v>
      </c>
      <c r="D288" s="162" t="e">
        <f>D285/C285-1</f>
        <v>#DIV/0!</v>
      </c>
      <c r="E288" s="162" t="e">
        <f t="shared" ref="E288:F290" si="32">E285/D285-1</f>
        <v>#DIV/0!</v>
      </c>
      <c r="F288" s="162" t="e">
        <f t="shared" si="32"/>
        <v>#DIV/0!</v>
      </c>
    </row>
    <row r="289" spans="2:6" ht="15.75" thickBot="1" x14ac:dyDescent="0.3">
      <c r="B289" s="62" t="s">
        <v>24</v>
      </c>
      <c r="C289" s="636" t="s">
        <v>23</v>
      </c>
      <c r="D289" s="162" t="e">
        <f>D286/C286-1</f>
        <v>#DIV/0!</v>
      </c>
      <c r="E289" s="162" t="e">
        <f t="shared" si="32"/>
        <v>#DIV/0!</v>
      </c>
      <c r="F289" s="162" t="e">
        <f t="shared" si="32"/>
        <v>#DIV/0!</v>
      </c>
    </row>
    <row r="290" spans="2:6" ht="15.75" thickBot="1" x14ac:dyDescent="0.3">
      <c r="B290" s="62" t="s">
        <v>25</v>
      </c>
      <c r="C290" s="636" t="s">
        <v>23</v>
      </c>
      <c r="D290" s="162" t="e">
        <f>D287/C287-1</f>
        <v>#DIV/0!</v>
      </c>
      <c r="E290" s="162" t="e">
        <f t="shared" si="32"/>
        <v>#DIV/0!</v>
      </c>
      <c r="F290" s="162" t="e">
        <f t="shared" si="32"/>
        <v>#DIV/0!</v>
      </c>
    </row>
    <row r="291" spans="2:6" ht="15.75" thickBot="1" x14ac:dyDescent="0.3">
      <c r="B291" s="1000" t="s">
        <v>784</v>
      </c>
      <c r="C291" s="1001"/>
      <c r="D291" s="1001"/>
      <c r="E291" s="1001"/>
      <c r="F291" s="1002"/>
    </row>
    <row r="292" spans="2:6" x14ac:dyDescent="0.25">
      <c r="B292" s="998"/>
      <c r="C292" s="63">
        <v>2018</v>
      </c>
      <c r="D292" s="63">
        <v>2019</v>
      </c>
      <c r="E292" s="63">
        <v>2020</v>
      </c>
      <c r="F292" s="63">
        <v>2021</v>
      </c>
    </row>
    <row r="293" spans="2:6" ht="15.75" thickBot="1" x14ac:dyDescent="0.3">
      <c r="B293" s="999"/>
      <c r="C293" s="64" t="s">
        <v>10</v>
      </c>
      <c r="D293" s="64" t="s">
        <v>11</v>
      </c>
      <c r="E293" s="64" t="s">
        <v>11</v>
      </c>
      <c r="F293" s="64" t="s">
        <v>11</v>
      </c>
    </row>
    <row r="294" spans="2:6" ht="15.75" thickBot="1" x14ac:dyDescent="0.3">
      <c r="B294" s="65" t="s">
        <v>26</v>
      </c>
      <c r="C294" s="165">
        <v>0</v>
      </c>
      <c r="D294" s="164">
        <v>0</v>
      </c>
      <c r="E294" s="164">
        <v>0</v>
      </c>
      <c r="F294" s="164">
        <v>0</v>
      </c>
    </row>
    <row r="295" spans="2:6" ht="15.75" thickBot="1" x14ac:dyDescent="0.3">
      <c r="B295" s="65" t="s">
        <v>28</v>
      </c>
      <c r="C295" s="165">
        <v>0</v>
      </c>
      <c r="D295" s="164">
        <v>0</v>
      </c>
      <c r="E295" s="164">
        <v>0</v>
      </c>
      <c r="F295" s="164">
        <v>0</v>
      </c>
    </row>
    <row r="296" spans="2:6" ht="15.75" thickBot="1" x14ac:dyDescent="0.3">
      <c r="B296" s="65" t="s">
        <v>30</v>
      </c>
      <c r="C296" s="165">
        <v>0</v>
      </c>
      <c r="D296" s="164">
        <v>0</v>
      </c>
      <c r="E296" s="164">
        <v>0</v>
      </c>
      <c r="F296" s="164">
        <v>0</v>
      </c>
    </row>
    <row r="297" spans="2:6" ht="15.75" thickBot="1" x14ac:dyDescent="0.3">
      <c r="B297" s="65" t="s">
        <v>32</v>
      </c>
      <c r="C297" s="165">
        <v>0</v>
      </c>
      <c r="D297" s="164">
        <v>0</v>
      </c>
      <c r="E297" s="164">
        <v>0</v>
      </c>
      <c r="F297" s="164">
        <v>0</v>
      </c>
    </row>
    <row r="298" spans="2:6" ht="15.75" thickBot="1" x14ac:dyDescent="0.3">
      <c r="B298" s="65" t="s">
        <v>34</v>
      </c>
      <c r="C298" s="165">
        <v>0</v>
      </c>
      <c r="D298" s="164">
        <v>0</v>
      </c>
      <c r="E298" s="164">
        <v>0</v>
      </c>
      <c r="F298" s="164">
        <v>0</v>
      </c>
    </row>
    <row r="299" spans="2:6" ht="15.75" thickBot="1" x14ac:dyDescent="0.3">
      <c r="B299" s="65" t="s">
        <v>36</v>
      </c>
      <c r="C299" s="165">
        <v>0</v>
      </c>
      <c r="D299" s="164">
        <v>0</v>
      </c>
      <c r="E299" s="164">
        <v>0</v>
      </c>
      <c r="F299" s="164">
        <v>0</v>
      </c>
    </row>
    <row r="300" spans="2:6" ht="15.75" thickBot="1" x14ac:dyDescent="0.3">
      <c r="B300" s="65" t="s">
        <v>38</v>
      </c>
      <c r="C300" s="165">
        <v>0</v>
      </c>
      <c r="D300" s="164">
        <v>0</v>
      </c>
      <c r="E300" s="164">
        <v>0</v>
      </c>
      <c r="F300" s="164">
        <v>0</v>
      </c>
    </row>
    <row r="301" spans="2:6" ht="15.75" thickBot="1" x14ac:dyDescent="0.3">
      <c r="B301" s="66" t="s">
        <v>40</v>
      </c>
      <c r="C301" s="165">
        <f>C300+C299+C298+C297+C296+C295+C294</f>
        <v>0</v>
      </c>
      <c r="D301" s="165">
        <f>D300+D299+D298+D297+D296+D295+D294</f>
        <v>0</v>
      </c>
      <c r="E301" s="165">
        <f>E300+E299+E298+E297+E296+E295+E294</f>
        <v>0</v>
      </c>
      <c r="F301" s="165">
        <f>F300+F299+F298+F297+F296+F295+F294</f>
        <v>0</v>
      </c>
    </row>
    <row r="302" spans="2:6" ht="15.75" thickBot="1" x14ac:dyDescent="0.3">
      <c r="B302" s="166" t="s">
        <v>41</v>
      </c>
      <c r="C302" s="167">
        <f>IF(C301-C286=0,0,"Error")</f>
        <v>0</v>
      </c>
      <c r="D302" s="167">
        <f>IF(D301-D286=0,0,"Error")</f>
        <v>0</v>
      </c>
      <c r="E302" s="167">
        <f>IF(E301-E286=0,0,"Error")</f>
        <v>0</v>
      </c>
      <c r="F302" s="167">
        <f>IF(F301-F286=0,0,"Error")</f>
        <v>0</v>
      </c>
    </row>
    <row r="303" spans="2:6" ht="15.75" thickBot="1" x14ac:dyDescent="0.3">
      <c r="B303" s="673"/>
      <c r="C303" s="674"/>
      <c r="D303" s="674"/>
      <c r="E303" s="674"/>
      <c r="F303" s="167"/>
    </row>
    <row r="304" spans="2:6" ht="15.75" thickBot="1" x14ac:dyDescent="0.3">
      <c r="B304" s="989" t="s">
        <v>63</v>
      </c>
      <c r="C304" s="990"/>
      <c r="D304" s="990"/>
      <c r="E304" s="990"/>
      <c r="F304" s="991"/>
    </row>
    <row r="305" spans="2:6" ht="15.75" thickBot="1" x14ac:dyDescent="0.3">
      <c r="B305" s="989" t="s">
        <v>56</v>
      </c>
      <c r="C305" s="990"/>
      <c r="D305" s="990"/>
      <c r="E305" s="990"/>
      <c r="F305" s="991"/>
    </row>
    <row r="306" spans="2:6" ht="15.75" thickBot="1" x14ac:dyDescent="0.3">
      <c r="B306" s="67" t="s">
        <v>1264</v>
      </c>
      <c r="C306" s="1009" t="s">
        <v>130</v>
      </c>
      <c r="D306" s="1010"/>
      <c r="E306" s="1010"/>
      <c r="F306" s="1011"/>
    </row>
    <row r="307" spans="2:6" ht="15.75" thickBot="1" x14ac:dyDescent="0.3">
      <c r="B307" s="160" t="s">
        <v>16</v>
      </c>
      <c r="C307" s="989" t="s">
        <v>1250</v>
      </c>
      <c r="D307" s="990"/>
      <c r="E307" s="990"/>
      <c r="F307" s="991"/>
    </row>
    <row r="308" spans="2:6" ht="15.75" thickBot="1" x14ac:dyDescent="0.3">
      <c r="B308" s="62" t="s">
        <v>17</v>
      </c>
      <c r="C308" s="1027" t="s">
        <v>1251</v>
      </c>
      <c r="D308" s="1028"/>
      <c r="E308" s="1028"/>
      <c r="F308" s="1029"/>
    </row>
    <row r="309" spans="2:6" ht="15.75" thickBot="1" x14ac:dyDescent="0.3">
      <c r="B309" s="62" t="s">
        <v>18</v>
      </c>
      <c r="C309" s="995" t="s">
        <v>106</v>
      </c>
      <c r="D309" s="996"/>
      <c r="E309" s="996"/>
      <c r="F309" s="997"/>
    </row>
    <row r="310" spans="2:6" x14ac:dyDescent="0.25">
      <c r="B310" s="998"/>
      <c r="C310" s="63">
        <v>2018</v>
      </c>
      <c r="D310" s="63">
        <v>2019</v>
      </c>
      <c r="E310" s="63">
        <v>2020</v>
      </c>
      <c r="F310" s="63">
        <v>2021</v>
      </c>
    </row>
    <row r="311" spans="2:6" ht="15.75" thickBot="1" x14ac:dyDescent="0.3">
      <c r="B311" s="999"/>
      <c r="C311" s="64" t="s">
        <v>10</v>
      </c>
      <c r="D311" s="64" t="s">
        <v>11</v>
      </c>
      <c r="E311" s="64" t="s">
        <v>11</v>
      </c>
      <c r="F311" s="64" t="s">
        <v>11</v>
      </c>
    </row>
    <row r="312" spans="2:6" ht="15.75" thickBot="1" x14ac:dyDescent="0.3">
      <c r="B312" s="62" t="s">
        <v>19</v>
      </c>
      <c r="C312" s="161"/>
      <c r="D312" s="161"/>
      <c r="E312" s="161"/>
      <c r="F312" s="161"/>
    </row>
    <row r="313" spans="2:6" ht="15.75" thickBot="1" x14ac:dyDescent="0.3">
      <c r="B313" s="62" t="s">
        <v>20</v>
      </c>
      <c r="C313" s="161">
        <f>C323</f>
        <v>960</v>
      </c>
      <c r="D313" s="161">
        <f t="shared" ref="D313:F313" si="33">D323</f>
        <v>0</v>
      </c>
      <c r="E313" s="161">
        <f t="shared" si="33"/>
        <v>0</v>
      </c>
      <c r="F313" s="194">
        <f t="shared" si="33"/>
        <v>0</v>
      </c>
    </row>
    <row r="314" spans="2:6" ht="15.75" thickBot="1" x14ac:dyDescent="0.3">
      <c r="B314" s="62" t="s">
        <v>21</v>
      </c>
      <c r="C314" s="161" t="e">
        <f>C313/C312</f>
        <v>#DIV/0!</v>
      </c>
      <c r="D314" s="161" t="e">
        <f t="shared" ref="D314:F314" si="34">D313/D312</f>
        <v>#DIV/0!</v>
      </c>
      <c r="E314" s="161" t="e">
        <f t="shared" si="34"/>
        <v>#DIV/0!</v>
      </c>
      <c r="F314" s="161" t="e">
        <f t="shared" si="34"/>
        <v>#DIV/0!</v>
      </c>
    </row>
    <row r="315" spans="2:6" ht="15.75" thickBot="1" x14ac:dyDescent="0.3">
      <c r="B315" s="62" t="s">
        <v>22</v>
      </c>
      <c r="C315" s="636" t="s">
        <v>23</v>
      </c>
      <c r="D315" s="162" t="e">
        <f>D312/C312-1</f>
        <v>#DIV/0!</v>
      </c>
      <c r="E315" s="162" t="e">
        <f t="shared" ref="E315:F317" si="35">E312/D312-1</f>
        <v>#DIV/0!</v>
      </c>
      <c r="F315" s="162" t="e">
        <f t="shared" si="35"/>
        <v>#DIV/0!</v>
      </c>
    </row>
    <row r="316" spans="2:6" ht="15.75" thickBot="1" x14ac:dyDescent="0.3">
      <c r="B316" s="62" t="s">
        <v>24</v>
      </c>
      <c r="C316" s="636" t="s">
        <v>23</v>
      </c>
      <c r="D316" s="162">
        <f>D313/C313-1</f>
        <v>-1</v>
      </c>
      <c r="E316" s="162" t="e">
        <f t="shared" si="35"/>
        <v>#DIV/0!</v>
      </c>
      <c r="F316" s="162" t="e">
        <f t="shared" si="35"/>
        <v>#DIV/0!</v>
      </c>
    </row>
    <row r="317" spans="2:6" ht="15.75" thickBot="1" x14ac:dyDescent="0.3">
      <c r="B317" s="62" t="s">
        <v>25</v>
      </c>
      <c r="C317" s="636" t="s">
        <v>23</v>
      </c>
      <c r="D317" s="162" t="e">
        <f>D314/C314-1</f>
        <v>#DIV/0!</v>
      </c>
      <c r="E317" s="162" t="e">
        <f t="shared" si="35"/>
        <v>#DIV/0!</v>
      </c>
      <c r="F317" s="162" t="e">
        <f t="shared" si="35"/>
        <v>#DIV/0!</v>
      </c>
    </row>
    <row r="318" spans="2:6" ht="15.75" thickBot="1" x14ac:dyDescent="0.3">
      <c r="B318" s="1000" t="s">
        <v>784</v>
      </c>
      <c r="C318" s="1001"/>
      <c r="D318" s="1001"/>
      <c r="E318" s="1001"/>
      <c r="F318" s="1002"/>
    </row>
    <row r="319" spans="2:6" x14ac:dyDescent="0.25">
      <c r="B319" s="998"/>
      <c r="C319" s="63">
        <v>2018</v>
      </c>
      <c r="D319" s="63">
        <v>2019</v>
      </c>
      <c r="E319" s="63">
        <v>2020</v>
      </c>
      <c r="F319" s="63">
        <v>2021</v>
      </c>
    </row>
    <row r="320" spans="2:6" ht="15.75" thickBot="1" x14ac:dyDescent="0.3">
      <c r="B320" s="999"/>
      <c r="C320" s="64" t="s">
        <v>10</v>
      </c>
      <c r="D320" s="64" t="s">
        <v>11</v>
      </c>
      <c r="E320" s="64" t="s">
        <v>11</v>
      </c>
      <c r="F320" s="64" t="s">
        <v>11</v>
      </c>
    </row>
    <row r="321" spans="2:6" ht="15.75" thickBot="1" x14ac:dyDescent="0.3">
      <c r="B321" s="65" t="s">
        <v>58</v>
      </c>
      <c r="C321" s="164"/>
      <c r="D321" s="164"/>
      <c r="E321" s="164"/>
      <c r="F321" s="164"/>
    </row>
    <row r="322" spans="2:6" ht="15.75" thickBot="1" x14ac:dyDescent="0.3">
      <c r="B322" s="65" t="s">
        <v>59</v>
      </c>
      <c r="C322" s="165">
        <v>960</v>
      </c>
      <c r="D322" s="164"/>
      <c r="E322" s="164"/>
      <c r="F322" s="164"/>
    </row>
    <row r="323" spans="2:6" ht="15.75" thickBot="1" x14ac:dyDescent="0.3">
      <c r="B323" s="710" t="s">
        <v>40</v>
      </c>
      <c r="C323" s="165">
        <f>C322+C321</f>
        <v>960</v>
      </c>
      <c r="D323" s="165">
        <f t="shared" ref="D323:F323" si="36">D322+D321</f>
        <v>0</v>
      </c>
      <c r="E323" s="165">
        <f t="shared" si="36"/>
        <v>0</v>
      </c>
      <c r="F323" s="165">
        <f t="shared" si="36"/>
        <v>0</v>
      </c>
    </row>
    <row r="324" spans="2:6" ht="15.75" thickBot="1" x14ac:dyDescent="0.3">
      <c r="B324" s="67" t="s">
        <v>1265</v>
      </c>
      <c r="C324" s="1009" t="s">
        <v>130</v>
      </c>
      <c r="D324" s="1010"/>
      <c r="E324" s="1010"/>
      <c r="F324" s="1011"/>
    </row>
    <row r="325" spans="2:6" ht="15.75" thickBot="1" x14ac:dyDescent="0.3">
      <c r="B325" s="160" t="s">
        <v>125</v>
      </c>
      <c r="C325" s="989" t="s">
        <v>1252</v>
      </c>
      <c r="D325" s="990"/>
      <c r="E325" s="990"/>
      <c r="F325" s="991"/>
    </row>
    <row r="326" spans="2:6" ht="15.75" thickBot="1" x14ac:dyDescent="0.3">
      <c r="B326" s="62" t="s">
        <v>17</v>
      </c>
      <c r="C326" s="983" t="s">
        <v>106</v>
      </c>
      <c r="D326" s="984"/>
      <c r="E326" s="984"/>
      <c r="F326" s="985"/>
    </row>
    <row r="327" spans="2:6" ht="15.75" thickBot="1" x14ac:dyDescent="0.3">
      <c r="B327" s="62" t="s">
        <v>18</v>
      </c>
      <c r="C327" s="995" t="s">
        <v>106</v>
      </c>
      <c r="D327" s="996"/>
      <c r="E327" s="996"/>
      <c r="F327" s="997"/>
    </row>
    <row r="328" spans="2:6" x14ac:dyDescent="0.25">
      <c r="B328" s="998"/>
      <c r="C328" s="63">
        <v>2018</v>
      </c>
      <c r="D328" s="63">
        <v>2019</v>
      </c>
      <c r="E328" s="63">
        <v>2020</v>
      </c>
      <c r="F328" s="63">
        <v>2021</v>
      </c>
    </row>
    <row r="329" spans="2:6" ht="15.75" thickBot="1" x14ac:dyDescent="0.3">
      <c r="B329" s="999"/>
      <c r="C329" s="64" t="s">
        <v>10</v>
      </c>
      <c r="D329" s="64" t="s">
        <v>11</v>
      </c>
      <c r="E329" s="64" t="s">
        <v>11</v>
      </c>
      <c r="F329" s="64" t="s">
        <v>11</v>
      </c>
    </row>
    <row r="330" spans="2:6" ht="15.75" thickBot="1" x14ac:dyDescent="0.3">
      <c r="B330" s="62" t="s">
        <v>19</v>
      </c>
      <c r="C330" s="161"/>
      <c r="D330" s="161"/>
      <c r="E330" s="161"/>
      <c r="F330" s="161"/>
    </row>
    <row r="331" spans="2:6" ht="15.75" thickBot="1" x14ac:dyDescent="0.3">
      <c r="B331" s="62" t="s">
        <v>20</v>
      </c>
      <c r="C331" s="161">
        <f>C341</f>
        <v>445</v>
      </c>
      <c r="D331" s="161">
        <f t="shared" ref="D331:F331" si="37">D341</f>
        <v>0</v>
      </c>
      <c r="E331" s="161">
        <f t="shared" si="37"/>
        <v>0</v>
      </c>
      <c r="F331" s="194">
        <f t="shared" si="37"/>
        <v>0</v>
      </c>
    </row>
    <row r="332" spans="2:6" ht="15.75" thickBot="1" x14ac:dyDescent="0.3">
      <c r="B332" s="62" t="s">
        <v>21</v>
      </c>
      <c r="C332" s="161" t="e">
        <f>C331/C330</f>
        <v>#DIV/0!</v>
      </c>
      <c r="D332" s="161" t="e">
        <f t="shared" ref="D332:F332" si="38">D331/D330</f>
        <v>#DIV/0!</v>
      </c>
      <c r="E332" s="161" t="e">
        <f t="shared" si="38"/>
        <v>#DIV/0!</v>
      </c>
      <c r="F332" s="161" t="e">
        <f t="shared" si="38"/>
        <v>#DIV/0!</v>
      </c>
    </row>
    <row r="333" spans="2:6" ht="15.75" thickBot="1" x14ac:dyDescent="0.3">
      <c r="B333" s="62" t="s">
        <v>22</v>
      </c>
      <c r="C333" s="636" t="s">
        <v>23</v>
      </c>
      <c r="D333" s="162" t="e">
        <f>D330/C330-1</f>
        <v>#DIV/0!</v>
      </c>
      <c r="E333" s="162" t="e">
        <f t="shared" ref="E333:F335" si="39">E330/D330-1</f>
        <v>#DIV/0!</v>
      </c>
      <c r="F333" s="162" t="e">
        <f t="shared" si="39"/>
        <v>#DIV/0!</v>
      </c>
    </row>
    <row r="334" spans="2:6" ht="15.75" thickBot="1" x14ac:dyDescent="0.3">
      <c r="B334" s="62" t="s">
        <v>24</v>
      </c>
      <c r="C334" s="636" t="s">
        <v>23</v>
      </c>
      <c r="D334" s="162">
        <f>D331/C331-1</f>
        <v>-1</v>
      </c>
      <c r="E334" s="162" t="e">
        <f t="shared" si="39"/>
        <v>#DIV/0!</v>
      </c>
      <c r="F334" s="162" t="e">
        <f t="shared" si="39"/>
        <v>#DIV/0!</v>
      </c>
    </row>
    <row r="335" spans="2:6" ht="15.75" thickBot="1" x14ac:dyDescent="0.3">
      <c r="B335" s="62" t="s">
        <v>25</v>
      </c>
      <c r="C335" s="636" t="s">
        <v>23</v>
      </c>
      <c r="D335" s="162" t="e">
        <f>D332/C332-1</f>
        <v>#DIV/0!</v>
      </c>
      <c r="E335" s="162" t="e">
        <f t="shared" si="39"/>
        <v>#DIV/0!</v>
      </c>
      <c r="F335" s="162" t="e">
        <f t="shared" si="39"/>
        <v>#DIV/0!</v>
      </c>
    </row>
    <row r="336" spans="2:6" ht="15.75" thickBot="1" x14ac:dyDescent="0.3">
      <c r="B336" s="1000" t="s">
        <v>786</v>
      </c>
      <c r="C336" s="1001"/>
      <c r="D336" s="1001"/>
      <c r="E336" s="1001"/>
      <c r="F336" s="1002"/>
    </row>
    <row r="337" spans="2:6" x14ac:dyDescent="0.25">
      <c r="B337" s="998"/>
      <c r="C337" s="63">
        <v>2018</v>
      </c>
      <c r="D337" s="63">
        <v>2019</v>
      </c>
      <c r="E337" s="63">
        <v>2020</v>
      </c>
      <c r="F337" s="63">
        <v>2021</v>
      </c>
    </row>
    <row r="338" spans="2:6" ht="15.75" thickBot="1" x14ac:dyDescent="0.3">
      <c r="B338" s="999"/>
      <c r="C338" s="64" t="s">
        <v>10</v>
      </c>
      <c r="D338" s="64" t="s">
        <v>11</v>
      </c>
      <c r="E338" s="64" t="s">
        <v>11</v>
      </c>
      <c r="F338" s="64" t="s">
        <v>11</v>
      </c>
    </row>
    <row r="339" spans="2:6" ht="15.75" thickBot="1" x14ac:dyDescent="0.3">
      <c r="B339" s="65" t="s">
        <v>58</v>
      </c>
      <c r="C339" s="164"/>
      <c r="D339" s="164"/>
      <c r="E339" s="164"/>
      <c r="F339" s="164"/>
    </row>
    <row r="340" spans="2:6" ht="15.75" thickBot="1" x14ac:dyDescent="0.3">
      <c r="B340" s="65" t="s">
        <v>59</v>
      </c>
      <c r="C340" s="165">
        <v>445</v>
      </c>
      <c r="D340" s="164"/>
      <c r="E340" s="164"/>
      <c r="F340" s="164"/>
    </row>
    <row r="341" spans="2:6" ht="15.75" thickBot="1" x14ac:dyDescent="0.3">
      <c r="B341" s="710" t="s">
        <v>43</v>
      </c>
      <c r="C341" s="165">
        <f>C340+C339</f>
        <v>445</v>
      </c>
      <c r="D341" s="165">
        <f t="shared" ref="D341:F341" si="40">D340+D339</f>
        <v>0</v>
      </c>
      <c r="E341" s="165">
        <f t="shared" si="40"/>
        <v>0</v>
      </c>
      <c r="F341" s="165">
        <f t="shared" si="40"/>
        <v>0</v>
      </c>
    </row>
    <row r="342" spans="2:6" ht="15.75" thickBot="1" x14ac:dyDescent="0.3">
      <c r="B342" s="67" t="s">
        <v>1266</v>
      </c>
      <c r="C342" s="1009" t="s">
        <v>130</v>
      </c>
      <c r="D342" s="1010"/>
      <c r="E342" s="1010"/>
      <c r="F342" s="1011"/>
    </row>
    <row r="343" spans="2:6" ht="15.75" thickBot="1" x14ac:dyDescent="0.3">
      <c r="B343" s="160" t="s">
        <v>1036</v>
      </c>
      <c r="C343" s="989" t="s">
        <v>1253</v>
      </c>
      <c r="D343" s="990"/>
      <c r="E343" s="990"/>
      <c r="F343" s="991"/>
    </row>
    <row r="344" spans="2:6" ht="15.75" thickBot="1" x14ac:dyDescent="0.3">
      <c r="B344" s="62" t="s">
        <v>17</v>
      </c>
      <c r="C344" s="983" t="s">
        <v>106</v>
      </c>
      <c r="D344" s="984"/>
      <c r="E344" s="984"/>
      <c r="F344" s="985"/>
    </row>
    <row r="345" spans="2:6" ht="15.75" thickBot="1" x14ac:dyDescent="0.3">
      <c r="B345" s="62" t="s">
        <v>18</v>
      </c>
      <c r="C345" s="995" t="s">
        <v>106</v>
      </c>
      <c r="D345" s="996"/>
      <c r="E345" s="996"/>
      <c r="F345" s="997"/>
    </row>
    <row r="346" spans="2:6" x14ac:dyDescent="0.25">
      <c r="B346" s="998"/>
      <c r="C346" s="63">
        <v>2018</v>
      </c>
      <c r="D346" s="63">
        <v>2019</v>
      </c>
      <c r="E346" s="63">
        <v>2020</v>
      </c>
      <c r="F346" s="63">
        <v>2021</v>
      </c>
    </row>
    <row r="347" spans="2:6" ht="15.75" thickBot="1" x14ac:dyDescent="0.3">
      <c r="B347" s="999"/>
      <c r="C347" s="64" t="s">
        <v>10</v>
      </c>
      <c r="D347" s="64" t="s">
        <v>11</v>
      </c>
      <c r="E347" s="64" t="s">
        <v>11</v>
      </c>
      <c r="F347" s="64" t="s">
        <v>11</v>
      </c>
    </row>
    <row r="348" spans="2:6" ht="15.75" thickBot="1" x14ac:dyDescent="0.3">
      <c r="B348" s="62" t="s">
        <v>19</v>
      </c>
      <c r="C348" s="161"/>
      <c r="D348" s="161"/>
      <c r="E348" s="161"/>
      <c r="F348" s="161"/>
    </row>
    <row r="349" spans="2:6" ht="15.75" thickBot="1" x14ac:dyDescent="0.3">
      <c r="B349" s="62" t="s">
        <v>20</v>
      </c>
      <c r="C349" s="161">
        <f>C359</f>
        <v>7940</v>
      </c>
      <c r="D349" s="161">
        <f t="shared" ref="D349:F349" si="41">D359</f>
        <v>0</v>
      </c>
      <c r="E349" s="161">
        <f t="shared" si="41"/>
        <v>0</v>
      </c>
      <c r="F349" s="161">
        <f t="shared" si="41"/>
        <v>0</v>
      </c>
    </row>
    <row r="350" spans="2:6" ht="15.75" thickBot="1" x14ac:dyDescent="0.3">
      <c r="B350" s="62" t="s">
        <v>21</v>
      </c>
      <c r="C350" s="161" t="e">
        <f>C349/C348</f>
        <v>#DIV/0!</v>
      </c>
      <c r="D350" s="161" t="e">
        <f t="shared" ref="D350:F350" si="42">D349/D348</f>
        <v>#DIV/0!</v>
      </c>
      <c r="E350" s="161" t="e">
        <f t="shared" si="42"/>
        <v>#DIV/0!</v>
      </c>
      <c r="F350" s="161" t="e">
        <f t="shared" si="42"/>
        <v>#DIV/0!</v>
      </c>
    </row>
    <row r="351" spans="2:6" ht="15.75" thickBot="1" x14ac:dyDescent="0.3">
      <c r="B351" s="62" t="s">
        <v>22</v>
      </c>
      <c r="C351" s="636" t="s">
        <v>23</v>
      </c>
      <c r="D351" s="162" t="e">
        <f>D348/C348-1</f>
        <v>#DIV/0!</v>
      </c>
      <c r="E351" s="162" t="e">
        <f t="shared" ref="E351:F353" si="43">E348/D348-1</f>
        <v>#DIV/0!</v>
      </c>
      <c r="F351" s="162" t="e">
        <f t="shared" si="43"/>
        <v>#DIV/0!</v>
      </c>
    </row>
    <row r="352" spans="2:6" ht="15.75" thickBot="1" x14ac:dyDescent="0.3">
      <c r="B352" s="62" t="s">
        <v>24</v>
      </c>
      <c r="C352" s="636" t="s">
        <v>23</v>
      </c>
      <c r="D352" s="162">
        <f>D349/C349-1</f>
        <v>-1</v>
      </c>
      <c r="E352" s="162" t="e">
        <f t="shared" si="43"/>
        <v>#DIV/0!</v>
      </c>
      <c r="F352" s="162" t="e">
        <f t="shared" si="43"/>
        <v>#DIV/0!</v>
      </c>
    </row>
    <row r="353" spans="2:6" ht="15.75" thickBot="1" x14ac:dyDescent="0.3">
      <c r="B353" s="62" t="s">
        <v>25</v>
      </c>
      <c r="C353" s="636" t="s">
        <v>23</v>
      </c>
      <c r="D353" s="162" t="e">
        <f>D350/C350-1</f>
        <v>#DIV/0!</v>
      </c>
      <c r="E353" s="162" t="e">
        <f t="shared" si="43"/>
        <v>#DIV/0!</v>
      </c>
      <c r="F353" s="162" t="e">
        <f t="shared" si="43"/>
        <v>#DIV/0!</v>
      </c>
    </row>
    <row r="354" spans="2:6" ht="15.75" thickBot="1" x14ac:dyDescent="0.3">
      <c r="B354" s="1000" t="s">
        <v>787</v>
      </c>
      <c r="C354" s="1001"/>
      <c r="D354" s="1001"/>
      <c r="E354" s="1001"/>
      <c r="F354" s="1002"/>
    </row>
    <row r="355" spans="2:6" x14ac:dyDescent="0.25">
      <c r="B355" s="998"/>
      <c r="C355" s="63">
        <v>2018</v>
      </c>
      <c r="D355" s="63">
        <v>2019</v>
      </c>
      <c r="E355" s="63">
        <v>2020</v>
      </c>
      <c r="F355" s="63">
        <v>2021</v>
      </c>
    </row>
    <row r="356" spans="2:6" ht="15.75" thickBot="1" x14ac:dyDescent="0.3">
      <c r="B356" s="999"/>
      <c r="C356" s="64" t="s">
        <v>10</v>
      </c>
      <c r="D356" s="64" t="s">
        <v>11</v>
      </c>
      <c r="E356" s="64" t="s">
        <v>11</v>
      </c>
      <c r="F356" s="64" t="s">
        <v>11</v>
      </c>
    </row>
    <row r="357" spans="2:6" ht="15.75" thickBot="1" x14ac:dyDescent="0.3">
      <c r="B357" s="65" t="s">
        <v>58</v>
      </c>
      <c r="C357" s="164"/>
      <c r="D357" s="164"/>
      <c r="E357" s="164"/>
      <c r="F357" s="164"/>
    </row>
    <row r="358" spans="2:6" ht="15.75" thickBot="1" x14ac:dyDescent="0.3">
      <c r="B358" s="711" t="s">
        <v>59</v>
      </c>
      <c r="C358" s="165">
        <v>7940</v>
      </c>
      <c r="D358" s="164"/>
      <c r="E358" s="164"/>
      <c r="F358" s="164"/>
    </row>
    <row r="359" spans="2:6" ht="15.75" thickBot="1" x14ac:dyDescent="0.3">
      <c r="B359" s="712" t="s">
        <v>52</v>
      </c>
      <c r="C359" s="165">
        <f>C358+C357</f>
        <v>7940</v>
      </c>
      <c r="D359" s="165">
        <f t="shared" ref="D359:F359" si="44">D358+D357</f>
        <v>0</v>
      </c>
      <c r="E359" s="165">
        <f t="shared" si="44"/>
        <v>0</v>
      </c>
      <c r="F359" s="165">
        <f t="shared" si="44"/>
        <v>0</v>
      </c>
    </row>
    <row r="360" spans="2:6" ht="15.75" thickBot="1" x14ac:dyDescent="0.3">
      <c r="B360" s="67" t="s">
        <v>1267</v>
      </c>
      <c r="C360" s="1009" t="s">
        <v>130</v>
      </c>
      <c r="D360" s="1010"/>
      <c r="E360" s="1010"/>
      <c r="F360" s="1011"/>
    </row>
    <row r="361" spans="2:6" ht="15.75" thickBot="1" x14ac:dyDescent="0.3">
      <c r="B361" s="160" t="s">
        <v>1254</v>
      </c>
      <c r="C361" s="989" t="s">
        <v>1255</v>
      </c>
      <c r="D361" s="990"/>
      <c r="E361" s="990"/>
      <c r="F361" s="991"/>
    </row>
    <row r="362" spans="2:6" ht="15.75" thickBot="1" x14ac:dyDescent="0.3">
      <c r="B362" s="62" t="s">
        <v>17</v>
      </c>
      <c r="C362" s="983" t="s">
        <v>106</v>
      </c>
      <c r="D362" s="984"/>
      <c r="E362" s="984"/>
      <c r="F362" s="985"/>
    </row>
    <row r="363" spans="2:6" ht="15.75" thickBot="1" x14ac:dyDescent="0.3">
      <c r="B363" s="62" t="s">
        <v>18</v>
      </c>
      <c r="C363" s="995" t="s">
        <v>106</v>
      </c>
      <c r="D363" s="996"/>
      <c r="E363" s="996"/>
      <c r="F363" s="997"/>
    </row>
    <row r="364" spans="2:6" x14ac:dyDescent="0.25">
      <c r="B364" s="998"/>
      <c r="C364" s="63">
        <v>2018</v>
      </c>
      <c r="D364" s="63">
        <v>2019</v>
      </c>
      <c r="E364" s="63">
        <v>2020</v>
      </c>
      <c r="F364" s="63">
        <v>2021</v>
      </c>
    </row>
    <row r="365" spans="2:6" ht="15.75" thickBot="1" x14ac:dyDescent="0.3">
      <c r="B365" s="999"/>
      <c r="C365" s="64" t="s">
        <v>10</v>
      </c>
      <c r="D365" s="64" t="s">
        <v>11</v>
      </c>
      <c r="E365" s="64" t="s">
        <v>11</v>
      </c>
      <c r="F365" s="64" t="s">
        <v>11</v>
      </c>
    </row>
    <row r="366" spans="2:6" ht="15.75" thickBot="1" x14ac:dyDescent="0.3">
      <c r="B366" s="62" t="s">
        <v>19</v>
      </c>
      <c r="C366" s="161"/>
      <c r="D366" s="161"/>
      <c r="E366" s="161"/>
      <c r="F366" s="161"/>
    </row>
    <row r="367" spans="2:6" ht="15.75" thickBot="1" x14ac:dyDescent="0.3">
      <c r="B367" s="62" t="s">
        <v>20</v>
      </c>
      <c r="C367" s="161">
        <f>C377</f>
        <v>155</v>
      </c>
      <c r="D367" s="161">
        <f t="shared" ref="D367:F367" si="45">D377</f>
        <v>0</v>
      </c>
      <c r="E367" s="161">
        <f t="shared" si="45"/>
        <v>0</v>
      </c>
      <c r="F367" s="161">
        <f t="shared" si="45"/>
        <v>0</v>
      </c>
    </row>
    <row r="368" spans="2:6" ht="15.75" thickBot="1" x14ac:dyDescent="0.3">
      <c r="B368" s="62" t="s">
        <v>21</v>
      </c>
      <c r="C368" s="161" t="e">
        <f>C367/C366</f>
        <v>#DIV/0!</v>
      </c>
      <c r="D368" s="161" t="e">
        <f t="shared" ref="D368:F368" si="46">D367/D366</f>
        <v>#DIV/0!</v>
      </c>
      <c r="E368" s="161" t="e">
        <f t="shared" si="46"/>
        <v>#DIV/0!</v>
      </c>
      <c r="F368" s="161" t="e">
        <f t="shared" si="46"/>
        <v>#DIV/0!</v>
      </c>
    </row>
    <row r="369" spans="2:6" ht="15.75" thickBot="1" x14ac:dyDescent="0.3">
      <c r="B369" s="62" t="s">
        <v>22</v>
      </c>
      <c r="C369" s="636" t="s">
        <v>23</v>
      </c>
      <c r="D369" s="162" t="e">
        <f>D366/C366-1</f>
        <v>#DIV/0!</v>
      </c>
      <c r="E369" s="162" t="e">
        <f t="shared" ref="E369:F371" si="47">E366/D366-1</f>
        <v>#DIV/0!</v>
      </c>
      <c r="F369" s="162" t="e">
        <f t="shared" si="47"/>
        <v>#DIV/0!</v>
      </c>
    </row>
    <row r="370" spans="2:6" ht="15.75" thickBot="1" x14ac:dyDescent="0.3">
      <c r="B370" s="62" t="s">
        <v>24</v>
      </c>
      <c r="C370" s="636" t="s">
        <v>23</v>
      </c>
      <c r="D370" s="162">
        <f>D367/C367-1</f>
        <v>-1</v>
      </c>
      <c r="E370" s="162" t="e">
        <f t="shared" si="47"/>
        <v>#DIV/0!</v>
      </c>
      <c r="F370" s="162" t="e">
        <f t="shared" si="47"/>
        <v>#DIV/0!</v>
      </c>
    </row>
    <row r="371" spans="2:6" ht="15.75" thickBot="1" x14ac:dyDescent="0.3">
      <c r="B371" s="62" t="s">
        <v>25</v>
      </c>
      <c r="C371" s="636" t="s">
        <v>23</v>
      </c>
      <c r="D371" s="162" t="e">
        <f>D368/C368-1</f>
        <v>#DIV/0!</v>
      </c>
      <c r="E371" s="162" t="e">
        <f t="shared" si="47"/>
        <v>#DIV/0!</v>
      </c>
      <c r="F371" s="162" t="e">
        <f t="shared" si="47"/>
        <v>#DIV/0!</v>
      </c>
    </row>
    <row r="372" spans="2:6" ht="15.75" thickBot="1" x14ac:dyDescent="0.3">
      <c r="B372" s="1000" t="s">
        <v>788</v>
      </c>
      <c r="C372" s="1001"/>
      <c r="D372" s="1001"/>
      <c r="E372" s="1001"/>
      <c r="F372" s="1002"/>
    </row>
    <row r="373" spans="2:6" x14ac:dyDescent="0.25">
      <c r="B373" s="998"/>
      <c r="C373" s="63">
        <v>2018</v>
      </c>
      <c r="D373" s="63">
        <v>2019</v>
      </c>
      <c r="E373" s="63">
        <v>2020</v>
      </c>
      <c r="F373" s="63">
        <v>2021</v>
      </c>
    </row>
    <row r="374" spans="2:6" ht="15.75" thickBot="1" x14ac:dyDescent="0.3">
      <c r="B374" s="999"/>
      <c r="C374" s="64" t="s">
        <v>10</v>
      </c>
      <c r="D374" s="64" t="s">
        <v>11</v>
      </c>
      <c r="E374" s="64" t="s">
        <v>11</v>
      </c>
      <c r="F374" s="64" t="s">
        <v>11</v>
      </c>
    </row>
    <row r="375" spans="2:6" ht="15.75" thickBot="1" x14ac:dyDescent="0.3">
      <c r="B375" s="65" t="s">
        <v>58</v>
      </c>
      <c r="C375" s="164"/>
      <c r="D375" s="164"/>
      <c r="E375" s="164"/>
      <c r="F375" s="164"/>
    </row>
    <row r="376" spans="2:6" ht="15.75" thickBot="1" x14ac:dyDescent="0.3">
      <c r="B376" s="711" t="s">
        <v>59</v>
      </c>
      <c r="C376" s="165">
        <v>155</v>
      </c>
      <c r="D376" s="164"/>
      <c r="E376" s="164"/>
      <c r="F376" s="164"/>
    </row>
    <row r="377" spans="2:6" ht="15.75" thickBot="1" x14ac:dyDescent="0.3">
      <c r="B377" s="712" t="s">
        <v>54</v>
      </c>
      <c r="C377" s="165">
        <f>C376+C375</f>
        <v>155</v>
      </c>
      <c r="D377" s="165">
        <f t="shared" ref="D377:F377" si="48">D376+D375</f>
        <v>0</v>
      </c>
      <c r="E377" s="165">
        <f t="shared" si="48"/>
        <v>0</v>
      </c>
      <c r="F377" s="165">
        <f t="shared" si="48"/>
        <v>0</v>
      </c>
    </row>
    <row r="378" spans="2:6" ht="15.75" thickBot="1" x14ac:dyDescent="0.3">
      <c r="B378" s="67" t="s">
        <v>1268</v>
      </c>
      <c r="C378" s="1009" t="s">
        <v>130</v>
      </c>
      <c r="D378" s="1010"/>
      <c r="E378" s="1010"/>
      <c r="F378" s="1011"/>
    </row>
    <row r="379" spans="2:6" ht="15.75" thickBot="1" x14ac:dyDescent="0.3">
      <c r="B379" s="160" t="s">
        <v>1256</v>
      </c>
      <c r="C379" s="989" t="s">
        <v>1257</v>
      </c>
      <c r="D379" s="990"/>
      <c r="E379" s="990"/>
      <c r="F379" s="991"/>
    </row>
    <row r="380" spans="2:6" ht="15.75" thickBot="1" x14ac:dyDescent="0.3">
      <c r="B380" s="62" t="s">
        <v>17</v>
      </c>
      <c r="C380" s="983" t="s">
        <v>106</v>
      </c>
      <c r="D380" s="984"/>
      <c r="E380" s="984"/>
      <c r="F380" s="985"/>
    </row>
    <row r="381" spans="2:6" ht="15.75" thickBot="1" x14ac:dyDescent="0.3">
      <c r="B381" s="62" t="s">
        <v>18</v>
      </c>
      <c r="C381" s="995" t="s">
        <v>106</v>
      </c>
      <c r="D381" s="996"/>
      <c r="E381" s="996"/>
      <c r="F381" s="997"/>
    </row>
    <row r="382" spans="2:6" x14ac:dyDescent="0.25">
      <c r="B382" s="998"/>
      <c r="C382" s="63">
        <v>2018</v>
      </c>
      <c r="D382" s="63">
        <v>2019</v>
      </c>
      <c r="E382" s="63">
        <v>2020</v>
      </c>
      <c r="F382" s="63">
        <v>2021</v>
      </c>
    </row>
    <row r="383" spans="2:6" ht="15.75" thickBot="1" x14ac:dyDescent="0.3">
      <c r="B383" s="999"/>
      <c r="C383" s="64" t="s">
        <v>10</v>
      </c>
      <c r="D383" s="64" t="s">
        <v>11</v>
      </c>
      <c r="E383" s="64" t="s">
        <v>11</v>
      </c>
      <c r="F383" s="64" t="s">
        <v>11</v>
      </c>
    </row>
    <row r="384" spans="2:6" ht="15.75" thickBot="1" x14ac:dyDescent="0.3">
      <c r="B384" s="62" t="s">
        <v>19</v>
      </c>
      <c r="C384" s="161"/>
      <c r="D384" s="161"/>
      <c r="E384" s="161"/>
      <c r="F384" s="161"/>
    </row>
    <row r="385" spans="2:6" ht="15.75" thickBot="1" x14ac:dyDescent="0.3">
      <c r="B385" s="62" t="s">
        <v>20</v>
      </c>
      <c r="C385" s="161">
        <f>C395</f>
        <v>500</v>
      </c>
      <c r="D385" s="161">
        <f t="shared" ref="D385:F385" si="49">D395</f>
        <v>0</v>
      </c>
      <c r="E385" s="161">
        <f t="shared" si="49"/>
        <v>0</v>
      </c>
      <c r="F385" s="161">
        <f t="shared" si="49"/>
        <v>0</v>
      </c>
    </row>
    <row r="386" spans="2:6" ht="15.75" thickBot="1" x14ac:dyDescent="0.3">
      <c r="B386" s="62" t="s">
        <v>21</v>
      </c>
      <c r="C386" s="161" t="e">
        <f>C385/C384</f>
        <v>#DIV/0!</v>
      </c>
      <c r="D386" s="161" t="e">
        <f t="shared" ref="D386:F386" si="50">D385/D384</f>
        <v>#DIV/0!</v>
      </c>
      <c r="E386" s="161" t="e">
        <f t="shared" si="50"/>
        <v>#DIV/0!</v>
      </c>
      <c r="F386" s="161" t="e">
        <f t="shared" si="50"/>
        <v>#DIV/0!</v>
      </c>
    </row>
    <row r="387" spans="2:6" ht="15.75" thickBot="1" x14ac:dyDescent="0.3">
      <c r="B387" s="62" t="s">
        <v>22</v>
      </c>
      <c r="C387" s="636" t="s">
        <v>23</v>
      </c>
      <c r="D387" s="162" t="e">
        <f>D384/C384-1</f>
        <v>#DIV/0!</v>
      </c>
      <c r="E387" s="162" t="e">
        <f t="shared" ref="E387:F389" si="51">E384/D384-1</f>
        <v>#DIV/0!</v>
      </c>
      <c r="F387" s="162" t="e">
        <f t="shared" si="51"/>
        <v>#DIV/0!</v>
      </c>
    </row>
    <row r="388" spans="2:6" ht="15.75" thickBot="1" x14ac:dyDescent="0.3">
      <c r="B388" s="62" t="s">
        <v>24</v>
      </c>
      <c r="C388" s="636" t="s">
        <v>23</v>
      </c>
      <c r="D388" s="162">
        <f>D385/C385-1</f>
        <v>-1</v>
      </c>
      <c r="E388" s="162" t="e">
        <f t="shared" si="51"/>
        <v>#DIV/0!</v>
      </c>
      <c r="F388" s="162" t="e">
        <f t="shared" si="51"/>
        <v>#DIV/0!</v>
      </c>
    </row>
    <row r="389" spans="2:6" ht="15.75" thickBot="1" x14ac:dyDescent="0.3">
      <c r="B389" s="62" t="s">
        <v>25</v>
      </c>
      <c r="C389" s="636" t="s">
        <v>23</v>
      </c>
      <c r="D389" s="162" t="e">
        <f>D386/C386-1</f>
        <v>#DIV/0!</v>
      </c>
      <c r="E389" s="162" t="e">
        <f t="shared" si="51"/>
        <v>#DIV/0!</v>
      </c>
      <c r="F389" s="162" t="e">
        <f t="shared" si="51"/>
        <v>#DIV/0!</v>
      </c>
    </row>
    <row r="390" spans="2:6" ht="15.75" thickBot="1" x14ac:dyDescent="0.3">
      <c r="B390" s="1000" t="s">
        <v>789</v>
      </c>
      <c r="C390" s="1001"/>
      <c r="D390" s="1001"/>
      <c r="E390" s="1001"/>
      <c r="F390" s="1002"/>
    </row>
    <row r="391" spans="2:6" x14ac:dyDescent="0.25">
      <c r="B391" s="998"/>
      <c r="C391" s="63">
        <v>2018</v>
      </c>
      <c r="D391" s="63">
        <v>2019</v>
      </c>
      <c r="E391" s="63">
        <v>2020</v>
      </c>
      <c r="F391" s="63">
        <v>2021</v>
      </c>
    </row>
    <row r="392" spans="2:6" ht="15.75" thickBot="1" x14ac:dyDescent="0.3">
      <c r="B392" s="999"/>
      <c r="C392" s="64" t="s">
        <v>10</v>
      </c>
      <c r="D392" s="64" t="s">
        <v>11</v>
      </c>
      <c r="E392" s="64" t="s">
        <v>11</v>
      </c>
      <c r="F392" s="64" t="s">
        <v>11</v>
      </c>
    </row>
    <row r="393" spans="2:6" ht="15.75" thickBot="1" x14ac:dyDescent="0.3">
      <c r="B393" s="65" t="s">
        <v>58</v>
      </c>
      <c r="C393" s="164"/>
      <c r="D393" s="164"/>
      <c r="E393" s="164"/>
      <c r="F393" s="164"/>
    </row>
    <row r="394" spans="2:6" ht="15.75" thickBot="1" x14ac:dyDescent="0.3">
      <c r="B394" s="711" t="s">
        <v>59</v>
      </c>
      <c r="C394" s="165">
        <v>500</v>
      </c>
      <c r="D394" s="164"/>
      <c r="E394" s="164"/>
      <c r="F394" s="164"/>
    </row>
    <row r="395" spans="2:6" ht="15.75" thickBot="1" x14ac:dyDescent="0.3">
      <c r="B395" s="712" t="s">
        <v>121</v>
      </c>
      <c r="C395" s="165">
        <f>C394+C393</f>
        <v>500</v>
      </c>
      <c r="D395" s="165">
        <f t="shared" ref="D395:F395" si="52">D394+D393</f>
        <v>0</v>
      </c>
      <c r="E395" s="165">
        <f t="shared" si="52"/>
        <v>0</v>
      </c>
      <c r="F395" s="165">
        <f t="shared" si="52"/>
        <v>0</v>
      </c>
    </row>
    <row r="396" spans="2:6" ht="15.75" thickBot="1" x14ac:dyDescent="0.3">
      <c r="B396" s="67" t="s">
        <v>1269</v>
      </c>
      <c r="C396" s="1009" t="s">
        <v>130</v>
      </c>
      <c r="D396" s="1010"/>
      <c r="E396" s="1010"/>
      <c r="F396" s="1011"/>
    </row>
    <row r="397" spans="2:6" ht="15.75" thickBot="1" x14ac:dyDescent="0.3">
      <c r="B397" s="160" t="s">
        <v>1258</v>
      </c>
      <c r="C397" s="1000" t="s">
        <v>1259</v>
      </c>
      <c r="D397" s="1001"/>
      <c r="E397" s="1001"/>
      <c r="F397" s="1002"/>
    </row>
    <row r="398" spans="2:6" ht="15.75" thickBot="1" x14ac:dyDescent="0.3">
      <c r="B398" s="62" t="s">
        <v>17</v>
      </c>
      <c r="C398" s="983" t="s">
        <v>106</v>
      </c>
      <c r="D398" s="984"/>
      <c r="E398" s="984"/>
      <c r="F398" s="985"/>
    </row>
    <row r="399" spans="2:6" ht="15.75" thickBot="1" x14ac:dyDescent="0.3">
      <c r="B399" s="62" t="s">
        <v>18</v>
      </c>
      <c r="C399" s="995" t="s">
        <v>106</v>
      </c>
      <c r="D399" s="996"/>
      <c r="E399" s="996"/>
      <c r="F399" s="997"/>
    </row>
    <row r="400" spans="2:6" x14ac:dyDescent="0.25">
      <c r="B400" s="998"/>
      <c r="C400" s="63">
        <v>2018</v>
      </c>
      <c r="D400" s="63">
        <v>2019</v>
      </c>
      <c r="E400" s="63">
        <v>2020</v>
      </c>
      <c r="F400" s="63">
        <v>2021</v>
      </c>
    </row>
    <row r="401" spans="2:6" ht="15.75" thickBot="1" x14ac:dyDescent="0.3">
      <c r="B401" s="999"/>
      <c r="C401" s="64" t="s">
        <v>10</v>
      </c>
      <c r="D401" s="64" t="s">
        <v>11</v>
      </c>
      <c r="E401" s="64" t="s">
        <v>11</v>
      </c>
      <c r="F401" s="64" t="s">
        <v>11</v>
      </c>
    </row>
    <row r="402" spans="2:6" ht="15.75" thickBot="1" x14ac:dyDescent="0.3">
      <c r="B402" s="62" t="s">
        <v>19</v>
      </c>
      <c r="C402" s="161"/>
      <c r="D402" s="161"/>
      <c r="E402" s="161"/>
      <c r="F402" s="161"/>
    </row>
    <row r="403" spans="2:6" ht="15.75" thickBot="1" x14ac:dyDescent="0.3">
      <c r="B403" s="62" t="s">
        <v>20</v>
      </c>
      <c r="C403" s="161">
        <f>C413</f>
        <v>0</v>
      </c>
      <c r="D403" s="161">
        <f t="shared" ref="D403:F403" si="53">D413</f>
        <v>15000</v>
      </c>
      <c r="E403" s="161">
        <f t="shared" si="53"/>
        <v>0</v>
      </c>
      <c r="F403" s="161">
        <f t="shared" si="53"/>
        <v>0</v>
      </c>
    </row>
    <row r="404" spans="2:6" ht="15.75" thickBot="1" x14ac:dyDescent="0.3">
      <c r="B404" s="62" t="s">
        <v>21</v>
      </c>
      <c r="C404" s="161" t="e">
        <f>C403/C402</f>
        <v>#DIV/0!</v>
      </c>
      <c r="D404" s="161" t="e">
        <f t="shared" ref="D404:F404" si="54">D403/D402</f>
        <v>#DIV/0!</v>
      </c>
      <c r="E404" s="161" t="e">
        <f t="shared" si="54"/>
        <v>#DIV/0!</v>
      </c>
      <c r="F404" s="161" t="e">
        <f t="shared" si="54"/>
        <v>#DIV/0!</v>
      </c>
    </row>
    <row r="405" spans="2:6" ht="15.75" thickBot="1" x14ac:dyDescent="0.3">
      <c r="B405" s="62" t="s">
        <v>22</v>
      </c>
      <c r="C405" s="636" t="s">
        <v>23</v>
      </c>
      <c r="D405" s="162" t="e">
        <f>D402/C402-1</f>
        <v>#DIV/0!</v>
      </c>
      <c r="E405" s="162" t="e">
        <f t="shared" ref="E405:F407" si="55">E402/D402-1</f>
        <v>#DIV/0!</v>
      </c>
      <c r="F405" s="162" t="e">
        <f t="shared" si="55"/>
        <v>#DIV/0!</v>
      </c>
    </row>
    <row r="406" spans="2:6" ht="15.75" thickBot="1" x14ac:dyDescent="0.3">
      <c r="B406" s="62" t="s">
        <v>24</v>
      </c>
      <c r="C406" s="636" t="s">
        <v>23</v>
      </c>
      <c r="D406" s="162" t="e">
        <f>D403/C403-1</f>
        <v>#DIV/0!</v>
      </c>
      <c r="E406" s="162">
        <f t="shared" si="55"/>
        <v>-1</v>
      </c>
      <c r="F406" s="162" t="e">
        <f t="shared" si="55"/>
        <v>#DIV/0!</v>
      </c>
    </row>
    <row r="407" spans="2:6" ht="15.75" thickBot="1" x14ac:dyDescent="0.3">
      <c r="B407" s="62" t="s">
        <v>25</v>
      </c>
      <c r="C407" s="636" t="s">
        <v>23</v>
      </c>
      <c r="D407" s="162" t="e">
        <f>D404/C404-1</f>
        <v>#DIV/0!</v>
      </c>
      <c r="E407" s="162" t="e">
        <f t="shared" si="55"/>
        <v>#DIV/0!</v>
      </c>
      <c r="F407" s="162" t="e">
        <f t="shared" si="55"/>
        <v>#DIV/0!</v>
      </c>
    </row>
    <row r="408" spans="2:6" ht="15.75" thickBot="1" x14ac:dyDescent="0.3">
      <c r="B408" s="1000" t="s">
        <v>1270</v>
      </c>
      <c r="C408" s="1001"/>
      <c r="D408" s="1001"/>
      <c r="E408" s="1001"/>
      <c r="F408" s="1002"/>
    </row>
    <row r="409" spans="2:6" x14ac:dyDescent="0.25">
      <c r="B409" s="998"/>
      <c r="C409" s="63">
        <v>2018</v>
      </c>
      <c r="D409" s="63">
        <v>2019</v>
      </c>
      <c r="E409" s="63">
        <v>2020</v>
      </c>
      <c r="F409" s="63">
        <v>2021</v>
      </c>
    </row>
    <row r="410" spans="2:6" ht="15.75" thickBot="1" x14ac:dyDescent="0.3">
      <c r="B410" s="999"/>
      <c r="C410" s="64" t="s">
        <v>10</v>
      </c>
      <c r="D410" s="64" t="s">
        <v>11</v>
      </c>
      <c r="E410" s="64" t="s">
        <v>11</v>
      </c>
      <c r="F410" s="64" t="s">
        <v>11</v>
      </c>
    </row>
    <row r="411" spans="2:6" ht="15.75" thickBot="1" x14ac:dyDescent="0.3">
      <c r="B411" s="65" t="s">
        <v>58</v>
      </c>
      <c r="C411" s="164"/>
      <c r="D411" s="164"/>
      <c r="E411" s="164"/>
      <c r="F411" s="164"/>
    </row>
    <row r="412" spans="2:6" ht="15.75" thickBot="1" x14ac:dyDescent="0.3">
      <c r="B412" s="711" t="s">
        <v>59</v>
      </c>
      <c r="C412" s="165"/>
      <c r="D412" s="164">
        <v>15000</v>
      </c>
      <c r="E412" s="164"/>
      <c r="F412" s="164"/>
    </row>
    <row r="413" spans="2:6" ht="15.75" thickBot="1" x14ac:dyDescent="0.3">
      <c r="B413" s="712" t="s">
        <v>998</v>
      </c>
      <c r="C413" s="165">
        <f>C412+C411</f>
        <v>0</v>
      </c>
      <c r="D413" s="165">
        <f t="shared" ref="D413:F413" si="56">D412+D411</f>
        <v>15000</v>
      </c>
      <c r="E413" s="165">
        <f t="shared" si="56"/>
        <v>0</v>
      </c>
      <c r="F413" s="165">
        <f t="shared" si="56"/>
        <v>0</v>
      </c>
    </row>
    <row r="414" spans="2:6" ht="15.75" thickBot="1" x14ac:dyDescent="0.3">
      <c r="B414" s="67" t="s">
        <v>1269</v>
      </c>
      <c r="C414" s="1009" t="s">
        <v>130</v>
      </c>
      <c r="D414" s="1010"/>
      <c r="E414" s="1010"/>
      <c r="F414" s="1011"/>
    </row>
    <row r="415" spans="2:6" ht="15.75" thickBot="1" x14ac:dyDescent="0.3">
      <c r="B415" s="160" t="s">
        <v>1260</v>
      </c>
      <c r="C415" s="1000" t="s">
        <v>1259</v>
      </c>
      <c r="D415" s="1001"/>
      <c r="E415" s="1001"/>
      <c r="F415" s="1002"/>
    </row>
    <row r="416" spans="2:6" ht="15.75" thickBot="1" x14ac:dyDescent="0.3">
      <c r="B416" s="62" t="s">
        <v>17</v>
      </c>
      <c r="C416" s="1027" t="s">
        <v>1261</v>
      </c>
      <c r="D416" s="1028"/>
      <c r="E416" s="1028"/>
      <c r="F416" s="1029"/>
    </row>
    <row r="417" spans="2:6" ht="15.75" thickBot="1" x14ac:dyDescent="0.3">
      <c r="B417" s="62" t="s">
        <v>18</v>
      </c>
      <c r="C417" s="995" t="s">
        <v>106</v>
      </c>
      <c r="D417" s="996"/>
      <c r="E417" s="996"/>
      <c r="F417" s="997"/>
    </row>
    <row r="418" spans="2:6" x14ac:dyDescent="0.25">
      <c r="B418" s="998"/>
      <c r="C418" s="63">
        <v>2018</v>
      </c>
      <c r="D418" s="63">
        <v>2019</v>
      </c>
      <c r="E418" s="63">
        <v>2020</v>
      </c>
      <c r="F418" s="63">
        <v>2021</v>
      </c>
    </row>
    <row r="419" spans="2:6" ht="15.75" thickBot="1" x14ac:dyDescent="0.3">
      <c r="B419" s="999"/>
      <c r="C419" s="64" t="s">
        <v>10</v>
      </c>
      <c r="D419" s="64" t="s">
        <v>11</v>
      </c>
      <c r="E419" s="64" t="s">
        <v>11</v>
      </c>
      <c r="F419" s="64" t="s">
        <v>11</v>
      </c>
    </row>
    <row r="420" spans="2:6" ht="15.75" thickBot="1" x14ac:dyDescent="0.3">
      <c r="B420" s="62" t="s">
        <v>19</v>
      </c>
      <c r="C420" s="161"/>
      <c r="D420" s="161"/>
      <c r="E420" s="161"/>
      <c r="F420" s="161"/>
    </row>
    <row r="421" spans="2:6" ht="15.75" thickBot="1" x14ac:dyDescent="0.3">
      <c r="B421" s="62" t="s">
        <v>20</v>
      </c>
      <c r="C421" s="161">
        <f>C431</f>
        <v>0</v>
      </c>
      <c r="D421" s="161">
        <f t="shared" ref="D421:F421" si="57">D431</f>
        <v>33000</v>
      </c>
      <c r="E421" s="161">
        <f t="shared" si="57"/>
        <v>22000</v>
      </c>
      <c r="F421" s="161">
        <f t="shared" si="57"/>
        <v>5000</v>
      </c>
    </row>
    <row r="422" spans="2:6" ht="15.75" thickBot="1" x14ac:dyDescent="0.3">
      <c r="B422" s="62" t="s">
        <v>21</v>
      </c>
      <c r="C422" s="161" t="e">
        <f>C421/C420</f>
        <v>#DIV/0!</v>
      </c>
      <c r="D422" s="161" t="e">
        <f t="shared" ref="D422:F422" si="58">D421/D420</f>
        <v>#DIV/0!</v>
      </c>
      <c r="E422" s="161" t="e">
        <f t="shared" si="58"/>
        <v>#DIV/0!</v>
      </c>
      <c r="F422" s="161" t="e">
        <f t="shared" si="58"/>
        <v>#DIV/0!</v>
      </c>
    </row>
    <row r="423" spans="2:6" ht="15.75" thickBot="1" x14ac:dyDescent="0.3">
      <c r="B423" s="62" t="s">
        <v>22</v>
      </c>
      <c r="C423" s="636" t="s">
        <v>23</v>
      </c>
      <c r="D423" s="162" t="e">
        <f>D420/C420-1</f>
        <v>#DIV/0!</v>
      </c>
      <c r="E423" s="162" t="e">
        <f t="shared" ref="E423:F425" si="59">E420/D420-1</f>
        <v>#DIV/0!</v>
      </c>
      <c r="F423" s="162" t="e">
        <f t="shared" si="59"/>
        <v>#DIV/0!</v>
      </c>
    </row>
    <row r="424" spans="2:6" ht="15.75" thickBot="1" x14ac:dyDescent="0.3">
      <c r="B424" s="62" t="s">
        <v>24</v>
      </c>
      <c r="C424" s="636" t="s">
        <v>23</v>
      </c>
      <c r="D424" s="162" t="e">
        <f>D421/C421-1</f>
        <v>#DIV/0!</v>
      </c>
      <c r="E424" s="162">
        <f t="shared" si="59"/>
        <v>-0.33333333333333337</v>
      </c>
      <c r="F424" s="162">
        <f t="shared" si="59"/>
        <v>-0.77272727272727271</v>
      </c>
    </row>
    <row r="425" spans="2:6" ht="15.75" thickBot="1" x14ac:dyDescent="0.3">
      <c r="B425" s="62" t="s">
        <v>25</v>
      </c>
      <c r="C425" s="636" t="s">
        <v>23</v>
      </c>
      <c r="D425" s="162" t="e">
        <f>D422/C422-1</f>
        <v>#DIV/0!</v>
      </c>
      <c r="E425" s="162" t="e">
        <f t="shared" si="59"/>
        <v>#DIV/0!</v>
      </c>
      <c r="F425" s="162" t="e">
        <f t="shared" si="59"/>
        <v>#DIV/0!</v>
      </c>
    </row>
    <row r="426" spans="2:6" ht="15.75" thickBot="1" x14ac:dyDescent="0.3">
      <c r="B426" s="1000" t="s">
        <v>1271</v>
      </c>
      <c r="C426" s="1001"/>
      <c r="D426" s="1001"/>
      <c r="E426" s="1001"/>
      <c r="F426" s="1002"/>
    </row>
    <row r="427" spans="2:6" x14ac:dyDescent="0.25">
      <c r="B427" s="998"/>
      <c r="C427" s="63">
        <v>2018</v>
      </c>
      <c r="D427" s="63">
        <v>2019</v>
      </c>
      <c r="E427" s="63">
        <v>2020</v>
      </c>
      <c r="F427" s="63">
        <v>2021</v>
      </c>
    </row>
    <row r="428" spans="2:6" ht="15.75" thickBot="1" x14ac:dyDescent="0.3">
      <c r="B428" s="999"/>
      <c r="C428" s="64" t="s">
        <v>10</v>
      </c>
      <c r="D428" s="64" t="s">
        <v>11</v>
      </c>
      <c r="E428" s="64" t="s">
        <v>11</v>
      </c>
      <c r="F428" s="64" t="s">
        <v>11</v>
      </c>
    </row>
    <row r="429" spans="2:6" ht="15.75" thickBot="1" x14ac:dyDescent="0.3">
      <c r="B429" s="65" t="s">
        <v>58</v>
      </c>
      <c r="C429" s="164"/>
      <c r="D429" s="164"/>
      <c r="E429" s="164"/>
      <c r="F429" s="164"/>
    </row>
    <row r="430" spans="2:6" ht="15.75" thickBot="1" x14ac:dyDescent="0.3">
      <c r="B430" s="711" t="s">
        <v>59</v>
      </c>
      <c r="C430" s="165"/>
      <c r="D430" s="164">
        <v>33000</v>
      </c>
      <c r="E430" s="164">
        <v>22000</v>
      </c>
      <c r="F430" s="164">
        <v>5000</v>
      </c>
    </row>
    <row r="431" spans="2:6" ht="15.75" thickBot="1" x14ac:dyDescent="0.3">
      <c r="B431" s="712" t="s">
        <v>1006</v>
      </c>
      <c r="C431" s="165">
        <f>C430+C429</f>
        <v>0</v>
      </c>
      <c r="D431" s="165">
        <f t="shared" ref="D431:F431" si="60">D430+D429</f>
        <v>33000</v>
      </c>
      <c r="E431" s="165">
        <f t="shared" si="60"/>
        <v>22000</v>
      </c>
      <c r="F431" s="165">
        <f t="shared" si="60"/>
        <v>5000</v>
      </c>
    </row>
    <row r="432" spans="2:6" ht="15.75" thickBot="1" x14ac:dyDescent="0.3">
      <c r="B432" s="713"/>
      <c r="C432" s="714"/>
      <c r="D432" s="714"/>
      <c r="E432" s="714"/>
      <c r="F432" s="714"/>
    </row>
    <row r="433" spans="2:6" ht="30.75" thickBot="1" x14ac:dyDescent="0.3">
      <c r="B433" s="715" t="s">
        <v>82</v>
      </c>
      <c r="C433" s="716">
        <f>C431+C413+C395+C377+C359+C341+C323+C234+C211+C186+C158+C135+C110+C82+C57+C27</f>
        <v>51991</v>
      </c>
      <c r="D433" s="716">
        <f>D431+D413+D395+D377+D359+D341+D323+D234+D211+D186+D158+D135+D110+D82+D57+D27</f>
        <v>92980</v>
      </c>
      <c r="E433" s="716">
        <f>E431+E413+E395+E377+E359+E341+E323+E234+E211+E186+E158+E135+E110+E82+E57+E27</f>
        <v>74521</v>
      </c>
      <c r="F433" s="717">
        <f>F431+F413+F395+F377+F359+F341+F323+F234+F211+F186+F158+F135+F110+F82+F57+F27</f>
        <v>58938</v>
      </c>
    </row>
    <row r="434" spans="2:6" ht="30.75" thickBot="1" x14ac:dyDescent="0.3">
      <c r="B434" s="718" t="s">
        <v>83</v>
      </c>
      <c r="C434" s="177">
        <f>C430+C412+C394+C376+C358+C340+C322+C249+C226+C203+C173+C150+C127+C97+C74+C42</f>
        <v>51991</v>
      </c>
      <c r="D434" s="177">
        <f>D430+D412+D394+D376+D358+D340+D322+D249+D226+D203+D173+D150+D127+D97+D74+D42</f>
        <v>92980</v>
      </c>
      <c r="E434" s="177">
        <f>E430+E412+E394+E376+E358+E340+E322+E249+E226+E203+E173+E150+E127+E97+E74+E42</f>
        <v>74521</v>
      </c>
      <c r="F434" s="719">
        <f>F430+F412+F394+F376+F358+F340+F322+F249+F226+F203+F173+F150+F127+F97+F74+F42</f>
        <v>58938</v>
      </c>
    </row>
    <row r="435" spans="2:6" ht="30.75" thickBot="1" x14ac:dyDescent="0.3">
      <c r="B435" s="553" t="s">
        <v>84</v>
      </c>
      <c r="C435" s="179"/>
      <c r="D435" s="180">
        <f>D434/C434-1</f>
        <v>0.78838645150122133</v>
      </c>
      <c r="E435" s="180">
        <f t="shared" ref="E435:F435" si="61">E434/D434-1</f>
        <v>-0.19852656485265652</v>
      </c>
      <c r="F435" s="720">
        <f t="shared" si="61"/>
        <v>-0.20910884180298173</v>
      </c>
    </row>
    <row r="436" spans="2:6" ht="30.75" thickBot="1" x14ac:dyDescent="0.3">
      <c r="B436" s="561" t="s">
        <v>96</v>
      </c>
      <c r="C436" s="205">
        <v>34</v>
      </c>
      <c r="D436" s="205">
        <v>42</v>
      </c>
      <c r="E436" s="205">
        <v>42</v>
      </c>
      <c r="F436" s="721">
        <v>42</v>
      </c>
    </row>
    <row r="437" spans="2:6" ht="30.75" thickBot="1" x14ac:dyDescent="0.3">
      <c r="B437" s="562" t="s">
        <v>97</v>
      </c>
      <c r="C437" s="563">
        <v>0</v>
      </c>
      <c r="D437" s="563">
        <v>0</v>
      </c>
      <c r="E437" s="563">
        <v>0</v>
      </c>
      <c r="F437" s="564">
        <v>0</v>
      </c>
    </row>
  </sheetData>
  <mergeCells count="150">
    <mergeCell ref="B427:B428"/>
    <mergeCell ref="C414:F414"/>
    <mergeCell ref="C415:F415"/>
    <mergeCell ref="C416:F416"/>
    <mergeCell ref="C417:F417"/>
    <mergeCell ref="B418:B419"/>
    <mergeCell ref="B426:F426"/>
    <mergeCell ref="C397:F397"/>
    <mergeCell ref="C398:F398"/>
    <mergeCell ref="C399:F399"/>
    <mergeCell ref="B400:B401"/>
    <mergeCell ref="B408:F408"/>
    <mergeCell ref="B409:B410"/>
    <mergeCell ref="C380:F380"/>
    <mergeCell ref="C381:F381"/>
    <mergeCell ref="B382:B383"/>
    <mergeCell ref="B390:F390"/>
    <mergeCell ref="B391:B392"/>
    <mergeCell ref="C396:F396"/>
    <mergeCell ref="C363:F363"/>
    <mergeCell ref="B364:B365"/>
    <mergeCell ref="B372:F372"/>
    <mergeCell ref="B373:B374"/>
    <mergeCell ref="C378:F378"/>
    <mergeCell ref="C379:F379"/>
    <mergeCell ref="B346:B347"/>
    <mergeCell ref="B354:F354"/>
    <mergeCell ref="B355:B356"/>
    <mergeCell ref="C360:F360"/>
    <mergeCell ref="C361:F361"/>
    <mergeCell ref="C362:F362"/>
    <mergeCell ref="B336:F336"/>
    <mergeCell ref="B337:B338"/>
    <mergeCell ref="C342:F342"/>
    <mergeCell ref="C343:F343"/>
    <mergeCell ref="C344:F344"/>
    <mergeCell ref="C345:F345"/>
    <mergeCell ref="B319:B320"/>
    <mergeCell ref="C324:F324"/>
    <mergeCell ref="C325:F325"/>
    <mergeCell ref="C326:F326"/>
    <mergeCell ref="C327:F327"/>
    <mergeCell ref="B328:B329"/>
    <mergeCell ref="C306:F306"/>
    <mergeCell ref="C307:F307"/>
    <mergeCell ref="C308:F308"/>
    <mergeCell ref="C309:F309"/>
    <mergeCell ref="B310:B311"/>
    <mergeCell ref="B318:F318"/>
    <mergeCell ref="C282:F282"/>
    <mergeCell ref="B283:B284"/>
    <mergeCell ref="B291:F291"/>
    <mergeCell ref="B292:B293"/>
    <mergeCell ref="B304:F304"/>
    <mergeCell ref="B305:F305"/>
    <mergeCell ref="B266:B267"/>
    <mergeCell ref="C277:F277"/>
    <mergeCell ref="B278:F278"/>
    <mergeCell ref="B279:F279"/>
    <mergeCell ref="C280:F280"/>
    <mergeCell ref="C281:F281"/>
    <mergeCell ref="B253:F253"/>
    <mergeCell ref="C254:F254"/>
    <mergeCell ref="C255:F255"/>
    <mergeCell ref="C256:F256"/>
    <mergeCell ref="B257:B258"/>
    <mergeCell ref="B265:F265"/>
    <mergeCell ref="C230:F230"/>
    <mergeCell ref="B231:B232"/>
    <mergeCell ref="B239:F239"/>
    <mergeCell ref="B240:B241"/>
    <mergeCell ref="C251:F251"/>
    <mergeCell ref="B252:F252"/>
    <mergeCell ref="C207:F207"/>
    <mergeCell ref="B208:B209"/>
    <mergeCell ref="B216:F216"/>
    <mergeCell ref="B217:B218"/>
    <mergeCell ref="C228:F228"/>
    <mergeCell ref="C229:F229"/>
    <mergeCell ref="B183:B184"/>
    <mergeCell ref="B191:B192"/>
    <mergeCell ref="B193:F193"/>
    <mergeCell ref="B194:B195"/>
    <mergeCell ref="C205:F205"/>
    <mergeCell ref="C206:F206"/>
    <mergeCell ref="B176:F176"/>
    <mergeCell ref="B177:F177"/>
    <mergeCell ref="B178:B179"/>
    <mergeCell ref="C180:F180"/>
    <mergeCell ref="C181:F181"/>
    <mergeCell ref="C182:F182"/>
    <mergeCell ref="C153:F153"/>
    <mergeCell ref="C154:F154"/>
    <mergeCell ref="B155:B156"/>
    <mergeCell ref="B163:F163"/>
    <mergeCell ref="B164:B165"/>
    <mergeCell ref="C175:F175"/>
    <mergeCell ref="C130:F130"/>
    <mergeCell ref="C131:F131"/>
    <mergeCell ref="B132:B133"/>
    <mergeCell ref="B140:F140"/>
    <mergeCell ref="B141:B142"/>
    <mergeCell ref="C152:F152"/>
    <mergeCell ref="C106:F106"/>
    <mergeCell ref="B107:B108"/>
    <mergeCell ref="B115:B116"/>
    <mergeCell ref="B117:F117"/>
    <mergeCell ref="B118:B119"/>
    <mergeCell ref="C129:F129"/>
    <mergeCell ref="C99:F99"/>
    <mergeCell ref="B100:F100"/>
    <mergeCell ref="B101:F101"/>
    <mergeCell ref="B102:B103"/>
    <mergeCell ref="C104:F104"/>
    <mergeCell ref="C105:F105"/>
    <mergeCell ref="C76:F76"/>
    <mergeCell ref="C77:F77"/>
    <mergeCell ref="C78:F78"/>
    <mergeCell ref="B79:B80"/>
    <mergeCell ref="B87:F87"/>
    <mergeCell ref="B88:B89"/>
    <mergeCell ref="C53:F53"/>
    <mergeCell ref="B54:B55"/>
    <mergeCell ref="B62:B63"/>
    <mergeCell ref="B64:F64"/>
    <mergeCell ref="B65:B66"/>
    <mergeCell ref="C44:F44"/>
    <mergeCell ref="B45:F45"/>
    <mergeCell ref="B47:F47"/>
    <mergeCell ref="B48:F48"/>
    <mergeCell ref="B49:B50"/>
    <mergeCell ref="C51:F51"/>
    <mergeCell ref="B32:F32"/>
    <mergeCell ref="B33:B34"/>
    <mergeCell ref="B9:F11"/>
    <mergeCell ref="C12:F12"/>
    <mergeCell ref="B13:B14"/>
    <mergeCell ref="C18:F18"/>
    <mergeCell ref="B19:F19"/>
    <mergeCell ref="B20:F20"/>
    <mergeCell ref="C52:F52"/>
    <mergeCell ref="B3:F3"/>
    <mergeCell ref="C5:F5"/>
    <mergeCell ref="C6:F6"/>
    <mergeCell ref="C7:F7"/>
    <mergeCell ref="B8:F8"/>
    <mergeCell ref="C21:F21"/>
    <mergeCell ref="C22:F22"/>
    <mergeCell ref="C23:F23"/>
    <mergeCell ref="B24:B2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338"/>
  <sheetViews>
    <sheetView topLeftCell="A307" workbookViewId="0">
      <selection activeCell="C317" sqref="C317"/>
    </sheetView>
  </sheetViews>
  <sheetFormatPr defaultRowHeight="15" x14ac:dyDescent="0.25"/>
  <cols>
    <col min="1" max="1" width="9.140625" style="152"/>
    <col min="2" max="2" width="42.5703125" style="152" customWidth="1"/>
    <col min="3" max="6" width="21.42578125" style="152" customWidth="1"/>
    <col min="7" max="16384" width="9.140625" style="152"/>
  </cols>
  <sheetData>
    <row r="3" spans="2:6" x14ac:dyDescent="0.25">
      <c r="B3" s="762" t="s">
        <v>0</v>
      </c>
      <c r="C3" s="762"/>
      <c r="D3" s="762"/>
      <c r="E3" s="762"/>
      <c r="F3" s="762"/>
    </row>
    <row r="4" spans="2:6" ht="15.75" thickBot="1" x14ac:dyDescent="0.3"/>
    <row r="5" spans="2:6" ht="30.75" customHeight="1" thickBot="1" x14ac:dyDescent="0.3">
      <c r="B5" s="153" t="s">
        <v>2</v>
      </c>
      <c r="C5" s="979">
        <v>0</v>
      </c>
      <c r="D5" s="979"/>
      <c r="E5" s="979"/>
      <c r="F5" s="979"/>
    </row>
    <row r="6" spans="2:6" ht="15.75" thickBot="1" x14ac:dyDescent="0.3">
      <c r="B6" s="153" t="s">
        <v>3</v>
      </c>
      <c r="C6" s="1048">
        <v>0</v>
      </c>
      <c r="D6" s="1621"/>
      <c r="E6" s="1621"/>
      <c r="F6" s="1622"/>
    </row>
    <row r="7" spans="2:6" ht="15.75" thickBot="1" x14ac:dyDescent="0.3">
      <c r="B7" s="153" t="s">
        <v>5</v>
      </c>
      <c r="C7" s="983" t="s">
        <v>6</v>
      </c>
      <c r="D7" s="984"/>
      <c r="E7" s="984"/>
      <c r="F7" s="985"/>
    </row>
    <row r="8" spans="2:6" ht="15.75" thickBot="1" x14ac:dyDescent="0.3">
      <c r="B8" s="986" t="s">
        <v>7</v>
      </c>
      <c r="C8" s="987"/>
      <c r="D8" s="987"/>
      <c r="E8" s="987"/>
      <c r="F8" s="988"/>
    </row>
    <row r="9" spans="2:6" ht="15.75" customHeight="1" thickBot="1" x14ac:dyDescent="0.3">
      <c r="B9" s="1003" t="s">
        <v>1272</v>
      </c>
      <c r="C9" s="1004"/>
      <c r="D9" s="1004"/>
      <c r="E9" s="1004"/>
      <c r="F9" s="1005"/>
    </row>
    <row r="10" spans="2:6" ht="15.75" thickBot="1" x14ac:dyDescent="0.3">
      <c r="B10" s="1003"/>
      <c r="C10" s="1004"/>
      <c r="D10" s="1004"/>
      <c r="E10" s="1004"/>
      <c r="F10" s="1005"/>
    </row>
    <row r="11" spans="2:6" ht="84.75" customHeight="1" thickBot="1" x14ac:dyDescent="0.3">
      <c r="B11" s="1003"/>
      <c r="C11" s="1004"/>
      <c r="D11" s="1004"/>
      <c r="E11" s="1004"/>
      <c r="F11" s="1005"/>
    </row>
    <row r="12" spans="2:6" ht="61.5" customHeight="1" thickBot="1" x14ac:dyDescent="0.3">
      <c r="B12" s="154" t="s">
        <v>8</v>
      </c>
      <c r="C12" s="1006" t="s">
        <v>1298</v>
      </c>
      <c r="D12" s="993"/>
      <c r="E12" s="993"/>
      <c r="F12" s="994"/>
    </row>
    <row r="13" spans="2:6" ht="15.75" thickBot="1" x14ac:dyDescent="0.3">
      <c r="B13" s="158" t="s">
        <v>12</v>
      </c>
      <c r="C13" s="1007">
        <v>0</v>
      </c>
      <c r="D13" s="1006"/>
      <c r="E13" s="1006"/>
      <c r="F13" s="1008"/>
    </row>
    <row r="14" spans="2:6" ht="15.75" thickBot="1" x14ac:dyDescent="0.3">
      <c r="B14" s="983" t="s">
        <v>103</v>
      </c>
      <c r="C14" s="984"/>
      <c r="D14" s="984"/>
      <c r="E14" s="984"/>
      <c r="F14" s="985"/>
    </row>
    <row r="15" spans="2:6" ht="23.25" customHeight="1" thickBot="1" x14ac:dyDescent="0.3">
      <c r="B15" s="637" t="s">
        <v>1274</v>
      </c>
      <c r="C15" s="157" t="s">
        <v>116</v>
      </c>
      <c r="D15" s="157" t="s">
        <v>117</v>
      </c>
      <c r="E15" s="157" t="s">
        <v>117</v>
      </c>
      <c r="F15" s="157" t="s">
        <v>117</v>
      </c>
    </row>
    <row r="16" spans="2:6" ht="23.25" customHeight="1" thickBot="1" x14ac:dyDescent="0.3">
      <c r="B16" s="637" t="s">
        <v>1277</v>
      </c>
      <c r="C16" s="157" t="s">
        <v>116</v>
      </c>
      <c r="D16" s="157" t="s">
        <v>117</v>
      </c>
      <c r="E16" s="157" t="s">
        <v>117</v>
      </c>
      <c r="F16" s="157" t="s">
        <v>117</v>
      </c>
    </row>
    <row r="17" spans="2:12" ht="15.75" thickBot="1" x14ac:dyDescent="0.3">
      <c r="B17" s="637" t="s">
        <v>14</v>
      </c>
      <c r="C17" s="157" t="s">
        <v>116</v>
      </c>
      <c r="D17" s="157" t="s">
        <v>117</v>
      </c>
      <c r="E17" s="157" t="s">
        <v>117</v>
      </c>
      <c r="F17" s="157" t="s">
        <v>117</v>
      </c>
    </row>
    <row r="18" spans="2:12" ht="15.75" thickBot="1" x14ac:dyDescent="0.3">
      <c r="B18" s="989" t="s">
        <v>14</v>
      </c>
      <c r="C18" s="990"/>
      <c r="D18" s="990"/>
      <c r="E18" s="990"/>
      <c r="F18" s="991"/>
    </row>
    <row r="19" spans="2:12" ht="15.75" thickBot="1" x14ac:dyDescent="0.3">
      <c r="B19" s="989" t="s">
        <v>104</v>
      </c>
      <c r="C19" s="990"/>
      <c r="D19" s="990"/>
      <c r="E19" s="990"/>
      <c r="F19" s="991"/>
    </row>
    <row r="20" spans="2:12" ht="15.75" thickBot="1" x14ac:dyDescent="0.3">
      <c r="B20" s="160" t="s">
        <v>105</v>
      </c>
      <c r="C20" s="992" t="s">
        <v>1299</v>
      </c>
      <c r="D20" s="993"/>
      <c r="E20" s="993"/>
      <c r="F20" s="994"/>
    </row>
    <row r="21" spans="2:12" ht="15.75" thickBot="1" x14ac:dyDescent="0.3">
      <c r="B21" s="62" t="s">
        <v>17</v>
      </c>
      <c r="C21" s="983" t="s">
        <v>1300</v>
      </c>
      <c r="D21" s="984"/>
      <c r="E21" s="984"/>
      <c r="F21" s="985"/>
    </row>
    <row r="22" spans="2:12" ht="15.75" thickBot="1" x14ac:dyDescent="0.3">
      <c r="B22" s="62" t="s">
        <v>18</v>
      </c>
      <c r="C22" s="995">
        <v>2018</v>
      </c>
      <c r="D22" s="996"/>
      <c r="E22" s="996"/>
      <c r="F22" s="997"/>
    </row>
    <row r="23" spans="2:12" x14ac:dyDescent="0.25">
      <c r="B23" s="998"/>
      <c r="C23" s="63">
        <v>2018</v>
      </c>
      <c r="D23" s="63">
        <v>2019</v>
      </c>
      <c r="E23" s="63">
        <v>2020</v>
      </c>
      <c r="F23" s="63">
        <v>2021</v>
      </c>
      <c r="L23" s="152">
        <v>1000</v>
      </c>
    </row>
    <row r="24" spans="2:12" ht="15.75" thickBot="1" x14ac:dyDescent="0.3">
      <c r="B24" s="999"/>
      <c r="C24" s="64" t="s">
        <v>10</v>
      </c>
      <c r="D24" s="64" t="s">
        <v>11</v>
      </c>
      <c r="E24" s="64" t="s">
        <v>11</v>
      </c>
      <c r="F24" s="64" t="s">
        <v>11</v>
      </c>
    </row>
    <row r="25" spans="2:12" ht="15.75" thickBot="1" x14ac:dyDescent="0.3">
      <c r="B25" s="62" t="s">
        <v>19</v>
      </c>
      <c r="C25" s="161">
        <v>700</v>
      </c>
      <c r="D25" s="161">
        <v>720</v>
      </c>
      <c r="E25" s="161">
        <v>725</v>
      </c>
      <c r="F25" s="161">
        <v>730</v>
      </c>
    </row>
    <row r="26" spans="2:12" ht="15.75" thickBot="1" x14ac:dyDescent="0.3">
      <c r="B26" s="62" t="s">
        <v>20</v>
      </c>
      <c r="C26" s="161">
        <v>26968.282999999999</v>
      </c>
      <c r="D26" s="161">
        <v>29918.053</v>
      </c>
      <c r="E26" s="161">
        <v>29918.053</v>
      </c>
      <c r="F26" s="161">
        <v>29918.053</v>
      </c>
    </row>
    <row r="27" spans="2:12" ht="15.75" thickBot="1" x14ac:dyDescent="0.3">
      <c r="B27" s="62" t="s">
        <v>21</v>
      </c>
      <c r="C27" s="161">
        <v>38526.118571428575</v>
      </c>
      <c r="D27" s="161">
        <v>41552.851388888892</v>
      </c>
      <c r="E27" s="161">
        <v>41266.28</v>
      </c>
      <c r="F27" s="161">
        <v>40983.634246575341</v>
      </c>
    </row>
    <row r="28" spans="2:12" ht="15.75" thickBot="1" x14ac:dyDescent="0.3">
      <c r="B28" s="62" t="s">
        <v>22</v>
      </c>
      <c r="C28" s="636" t="s">
        <v>23</v>
      </c>
      <c r="D28" s="162">
        <v>2.857142857142847E-2</v>
      </c>
      <c r="E28" s="162">
        <v>6.9444444444444198E-3</v>
      </c>
      <c r="F28" s="162">
        <v>6.8965517241379448E-3</v>
      </c>
    </row>
    <row r="29" spans="2:12" ht="15.75" thickBot="1" x14ac:dyDescent="0.3">
      <c r="B29" s="62" t="s">
        <v>24</v>
      </c>
      <c r="C29" s="636" t="s">
        <v>23</v>
      </c>
      <c r="D29" s="162">
        <v>0.10937922892606844</v>
      </c>
      <c r="E29" s="162">
        <v>0</v>
      </c>
      <c r="F29" s="162">
        <v>0</v>
      </c>
    </row>
    <row r="30" spans="2:12" ht="15.75" thickBot="1" x14ac:dyDescent="0.3">
      <c r="B30" s="62" t="s">
        <v>25</v>
      </c>
      <c r="C30" s="636" t="s">
        <v>23</v>
      </c>
      <c r="D30" s="162">
        <v>7.8563139233677637E-2</v>
      </c>
      <c r="E30" s="162">
        <v>-6.8965517241380558E-3</v>
      </c>
      <c r="F30" s="162">
        <v>-6.8493150684931781E-3</v>
      </c>
    </row>
    <row r="31" spans="2:12" ht="15.75" customHeight="1" thickBot="1" x14ac:dyDescent="0.3">
      <c r="B31" s="1000" t="s">
        <v>118</v>
      </c>
      <c r="C31" s="1001"/>
      <c r="D31" s="1001"/>
      <c r="E31" s="1001"/>
      <c r="F31" s="1002"/>
    </row>
    <row r="32" spans="2:12" x14ac:dyDescent="0.25">
      <c r="B32" s="998"/>
      <c r="C32" s="63">
        <v>2018</v>
      </c>
      <c r="D32" s="63">
        <v>2019</v>
      </c>
      <c r="E32" s="63">
        <v>2020</v>
      </c>
      <c r="F32" s="63">
        <v>2021</v>
      </c>
    </row>
    <row r="33" spans="2:6" ht="15.75" thickBot="1" x14ac:dyDescent="0.3">
      <c r="B33" s="999"/>
      <c r="C33" s="64" t="s">
        <v>10</v>
      </c>
      <c r="D33" s="64" t="s">
        <v>11</v>
      </c>
      <c r="E33" s="64" t="s">
        <v>11</v>
      </c>
      <c r="F33" s="64" t="s">
        <v>11</v>
      </c>
    </row>
    <row r="34" spans="2:6" ht="15.75" thickBot="1" x14ac:dyDescent="0.3">
      <c r="B34" s="65" t="s">
        <v>26</v>
      </c>
      <c r="C34" s="164">
        <v>11916.666999999999</v>
      </c>
      <c r="D34" s="164">
        <v>15470.67</v>
      </c>
      <c r="E34" s="164">
        <v>15470.67</v>
      </c>
      <c r="F34" s="164">
        <v>15470.67</v>
      </c>
    </row>
    <row r="35" spans="2:6" ht="15.75" thickBot="1" x14ac:dyDescent="0.3">
      <c r="B35" s="65" t="s">
        <v>28</v>
      </c>
      <c r="C35" s="164">
        <v>1939.383</v>
      </c>
      <c r="D35" s="164">
        <v>2514.2559999999999</v>
      </c>
      <c r="E35" s="164">
        <v>2514.2559999999999</v>
      </c>
      <c r="F35" s="164">
        <v>2514.2559999999999</v>
      </c>
    </row>
    <row r="36" spans="2:6" ht="15.75" thickBot="1" x14ac:dyDescent="0.3">
      <c r="B36" s="65" t="s">
        <v>30</v>
      </c>
      <c r="C36" s="164">
        <v>8367.2330000000002</v>
      </c>
      <c r="D36" s="164">
        <v>7614.817</v>
      </c>
      <c r="E36" s="164">
        <v>7614.817</v>
      </c>
      <c r="F36" s="164">
        <v>7614.817</v>
      </c>
    </row>
    <row r="37" spans="2:6" ht="15.75" thickBot="1" x14ac:dyDescent="0.3">
      <c r="B37" s="65" t="s">
        <v>32</v>
      </c>
      <c r="C37" s="164">
        <v>0</v>
      </c>
      <c r="D37" s="164">
        <v>0</v>
      </c>
      <c r="E37" s="164">
        <v>0</v>
      </c>
      <c r="F37" s="164">
        <v>0</v>
      </c>
    </row>
    <row r="38" spans="2:6" ht="15.75" thickBot="1" x14ac:dyDescent="0.3">
      <c r="B38" s="65" t="s">
        <v>34</v>
      </c>
      <c r="C38" s="164">
        <v>0</v>
      </c>
      <c r="D38" s="164">
        <v>0</v>
      </c>
      <c r="E38" s="164">
        <v>0</v>
      </c>
      <c r="F38" s="164">
        <v>0</v>
      </c>
    </row>
    <row r="39" spans="2:6" ht="15.75" thickBot="1" x14ac:dyDescent="0.3">
      <c r="B39" s="65" t="s">
        <v>36</v>
      </c>
      <c r="C39" s="164">
        <v>4745</v>
      </c>
      <c r="D39" s="164">
        <v>4318.3100000000004</v>
      </c>
      <c r="E39" s="164">
        <v>4318.3100000000004</v>
      </c>
      <c r="F39" s="164">
        <v>4318.3100000000004</v>
      </c>
    </row>
    <row r="40" spans="2:6" ht="15.75" thickBot="1" x14ac:dyDescent="0.3">
      <c r="B40" s="65" t="s">
        <v>38</v>
      </c>
      <c r="C40" s="164">
        <v>0</v>
      </c>
      <c r="D40" s="164">
        <v>0</v>
      </c>
      <c r="E40" s="164">
        <v>0</v>
      </c>
      <c r="F40" s="164">
        <v>0</v>
      </c>
    </row>
    <row r="41" spans="2:6" ht="15.75" thickBot="1" x14ac:dyDescent="0.3">
      <c r="B41" s="66" t="s">
        <v>1273</v>
      </c>
      <c r="C41" s="164">
        <v>26968.282999999999</v>
      </c>
      <c r="D41" s="164">
        <v>29918.053</v>
      </c>
      <c r="E41" s="164">
        <v>29918.053</v>
      </c>
      <c r="F41" s="164">
        <v>29918.053</v>
      </c>
    </row>
    <row r="42" spans="2:6" ht="15.75" thickBot="1" x14ac:dyDescent="0.3">
      <c r="B42" s="166" t="s">
        <v>41</v>
      </c>
      <c r="C42" s="167">
        <v>0</v>
      </c>
      <c r="D42" s="167">
        <v>0</v>
      </c>
      <c r="E42" s="167">
        <v>0</v>
      </c>
      <c r="F42" s="167">
        <v>0</v>
      </c>
    </row>
    <row r="43" spans="2:6" ht="15.75" thickBot="1" x14ac:dyDescent="0.3">
      <c r="B43" s="218" t="s">
        <v>42</v>
      </c>
      <c r="C43" s="992" t="s">
        <v>1274</v>
      </c>
      <c r="D43" s="993"/>
      <c r="E43" s="993"/>
      <c r="F43" s="994"/>
    </row>
    <row r="44" spans="2:6" ht="15.75" customHeight="1" thickBot="1" x14ac:dyDescent="0.3">
      <c r="B44" s="62" t="s">
        <v>17</v>
      </c>
      <c r="C44" s="983" t="s">
        <v>1275</v>
      </c>
      <c r="D44" s="984"/>
      <c r="E44" s="984"/>
      <c r="F44" s="985"/>
    </row>
    <row r="45" spans="2:6" ht="15.75" thickBot="1" x14ac:dyDescent="0.3">
      <c r="B45" s="62" t="s">
        <v>18</v>
      </c>
      <c r="C45" s="995" t="s">
        <v>1276</v>
      </c>
      <c r="D45" s="996"/>
      <c r="E45" s="996"/>
      <c r="F45" s="997"/>
    </row>
    <row r="46" spans="2:6" ht="15.75" thickBot="1" x14ac:dyDescent="0.3">
      <c r="B46" s="62" t="s">
        <v>19</v>
      </c>
      <c r="C46" s="161">
        <v>2480</v>
      </c>
      <c r="D46" s="161">
        <v>2530</v>
      </c>
      <c r="E46" s="161">
        <v>2550</v>
      </c>
      <c r="F46" s="161">
        <v>2550</v>
      </c>
    </row>
    <row r="47" spans="2:6" x14ac:dyDescent="0.25">
      <c r="B47" s="998"/>
      <c r="C47" s="63">
        <v>2018</v>
      </c>
      <c r="D47" s="63">
        <v>2019</v>
      </c>
      <c r="E47" s="63">
        <v>2020</v>
      </c>
      <c r="F47" s="63">
        <v>2021</v>
      </c>
    </row>
    <row r="48" spans="2:6" ht="15.75" thickBot="1" x14ac:dyDescent="0.3">
      <c r="B48" s="999"/>
      <c r="C48" s="64" t="s">
        <v>10</v>
      </c>
      <c r="D48" s="64" t="s">
        <v>11</v>
      </c>
      <c r="E48" s="64" t="s">
        <v>11</v>
      </c>
      <c r="F48" s="64" t="s">
        <v>11</v>
      </c>
    </row>
    <row r="49" spans="2:6" ht="15.75" thickBot="1" x14ac:dyDescent="0.3">
      <c r="B49" s="62" t="s">
        <v>20</v>
      </c>
      <c r="C49" s="161">
        <v>16595.866999999998</v>
      </c>
      <c r="D49" s="161">
        <v>17096.03</v>
      </c>
      <c r="E49" s="161">
        <v>17096.03</v>
      </c>
      <c r="F49" s="161">
        <v>17096.03</v>
      </c>
    </row>
    <row r="50" spans="2:6" ht="15.75" thickBot="1" x14ac:dyDescent="0.3">
      <c r="B50" s="62" t="s">
        <v>21</v>
      </c>
      <c r="C50" s="161">
        <v>6691.8818548387098</v>
      </c>
      <c r="D50" s="161">
        <v>6757.324110671937</v>
      </c>
      <c r="E50" s="161">
        <v>6704.3254901960781</v>
      </c>
      <c r="F50" s="161">
        <v>6704.3254901960781</v>
      </c>
    </row>
    <row r="51" spans="2:6" ht="15.75" thickBot="1" x14ac:dyDescent="0.3">
      <c r="B51" s="62" t="s">
        <v>22</v>
      </c>
      <c r="C51" s="636"/>
      <c r="D51" s="162">
        <v>2.0161290322580738E-2</v>
      </c>
      <c r="E51" s="162">
        <v>7.905138339920903E-3</v>
      </c>
      <c r="F51" s="162">
        <v>0</v>
      </c>
    </row>
    <row r="52" spans="2:6" ht="15.75" thickBot="1" x14ac:dyDescent="0.3">
      <c r="B52" s="62" t="s">
        <v>24</v>
      </c>
      <c r="C52" s="636"/>
      <c r="D52" s="162">
        <v>3.0137804792000233E-2</v>
      </c>
      <c r="E52" s="162">
        <v>0</v>
      </c>
      <c r="F52" s="162">
        <v>0</v>
      </c>
    </row>
    <row r="53" spans="2:6" ht="15.75" thickBot="1" x14ac:dyDescent="0.3">
      <c r="B53" s="62" t="s">
        <v>25</v>
      </c>
      <c r="C53" s="636"/>
      <c r="D53" s="162">
        <v>9.7793501518421699E-3</v>
      </c>
      <c r="E53" s="162">
        <v>-7.8431372549020439E-3</v>
      </c>
      <c r="F53" s="162">
        <v>0</v>
      </c>
    </row>
    <row r="54" spans="2:6" ht="15.75" customHeight="1" thickBot="1" x14ac:dyDescent="0.3">
      <c r="B54" s="1000" t="s">
        <v>891</v>
      </c>
      <c r="C54" s="1001"/>
      <c r="D54" s="1001"/>
      <c r="E54" s="1001"/>
      <c r="F54" s="1002"/>
    </row>
    <row r="55" spans="2:6" x14ac:dyDescent="0.25">
      <c r="B55" s="998"/>
      <c r="C55" s="63">
        <v>2018</v>
      </c>
      <c r="D55" s="63">
        <v>2019</v>
      </c>
      <c r="E55" s="63">
        <v>2020</v>
      </c>
      <c r="F55" s="63">
        <v>2021</v>
      </c>
    </row>
    <row r="56" spans="2:6" ht="15.75" thickBot="1" x14ac:dyDescent="0.3">
      <c r="B56" s="999"/>
      <c r="C56" s="64" t="s">
        <v>10</v>
      </c>
      <c r="D56" s="64" t="s">
        <v>11</v>
      </c>
      <c r="E56" s="64" t="s">
        <v>11</v>
      </c>
      <c r="F56" s="64" t="s">
        <v>11</v>
      </c>
    </row>
    <row r="57" spans="2:6" ht="15.75" thickBot="1" x14ac:dyDescent="0.3">
      <c r="B57" s="65" t="s">
        <v>26</v>
      </c>
      <c r="C57" s="164">
        <v>7333.3329999999996</v>
      </c>
      <c r="D57" s="164">
        <v>8840.3819999999996</v>
      </c>
      <c r="E57" s="164">
        <v>8840.3819999999996</v>
      </c>
      <c r="F57" s="164">
        <v>8840.3819999999996</v>
      </c>
    </row>
    <row r="58" spans="2:6" ht="15.75" thickBot="1" x14ac:dyDescent="0.3">
      <c r="B58" s="65" t="s">
        <v>28</v>
      </c>
      <c r="C58" s="164">
        <v>1193.4670000000001</v>
      </c>
      <c r="D58" s="164">
        <v>1436.7180000000001</v>
      </c>
      <c r="E58" s="164">
        <v>1436.7180000000001</v>
      </c>
      <c r="F58" s="164">
        <v>1436.7180000000001</v>
      </c>
    </row>
    <row r="59" spans="2:6" ht="15.75" thickBot="1" x14ac:dyDescent="0.3">
      <c r="B59" s="65" t="s">
        <v>30</v>
      </c>
      <c r="C59" s="165">
        <v>5149.067</v>
      </c>
      <c r="D59" s="164">
        <v>4351.3239999999996</v>
      </c>
      <c r="E59" s="164">
        <v>4351.3239999999996</v>
      </c>
      <c r="F59" s="164">
        <v>4351.3239999999996</v>
      </c>
    </row>
    <row r="60" spans="2:6" ht="15.75" thickBot="1" x14ac:dyDescent="0.3">
      <c r="B60" s="65" t="s">
        <v>32</v>
      </c>
      <c r="C60" s="165">
        <v>0</v>
      </c>
      <c r="D60" s="164">
        <v>0</v>
      </c>
      <c r="E60" s="164">
        <v>0</v>
      </c>
      <c r="F60" s="164">
        <v>0</v>
      </c>
    </row>
    <row r="61" spans="2:6" ht="15.75" thickBot="1" x14ac:dyDescent="0.3">
      <c r="B61" s="65" t="s">
        <v>34</v>
      </c>
      <c r="C61" s="165">
        <v>0</v>
      </c>
      <c r="D61" s="164">
        <v>0</v>
      </c>
      <c r="E61" s="164">
        <v>0</v>
      </c>
      <c r="F61" s="164">
        <v>0</v>
      </c>
    </row>
    <row r="62" spans="2:6" ht="15.75" thickBot="1" x14ac:dyDescent="0.3">
      <c r="B62" s="65" t="s">
        <v>36</v>
      </c>
      <c r="C62" s="165">
        <v>2920</v>
      </c>
      <c r="D62" s="164">
        <v>2467.6060000000002</v>
      </c>
      <c r="E62" s="164">
        <v>2467.6060000000002</v>
      </c>
      <c r="F62" s="164">
        <v>2467.6060000000002</v>
      </c>
    </row>
    <row r="63" spans="2:6" ht="15.75" thickBot="1" x14ac:dyDescent="0.3">
      <c r="B63" s="65" t="s">
        <v>38</v>
      </c>
      <c r="C63" s="165">
        <v>0</v>
      </c>
      <c r="D63" s="164">
        <v>0</v>
      </c>
      <c r="E63" s="164">
        <v>0</v>
      </c>
      <c r="F63" s="164">
        <v>0</v>
      </c>
    </row>
    <row r="64" spans="2:6" ht="15.75" thickBot="1" x14ac:dyDescent="0.3">
      <c r="B64" s="66" t="s">
        <v>1273</v>
      </c>
      <c r="C64" s="165">
        <v>16595.866999999998</v>
      </c>
      <c r="D64" s="165">
        <v>17096.03</v>
      </c>
      <c r="E64" s="165">
        <v>17096.03</v>
      </c>
      <c r="F64" s="165">
        <v>17096.03</v>
      </c>
    </row>
    <row r="65" spans="2:6" ht="15.75" thickBot="1" x14ac:dyDescent="0.3">
      <c r="B65" s="166" t="s">
        <v>41</v>
      </c>
      <c r="C65" s="167">
        <v>0</v>
      </c>
      <c r="D65" s="167">
        <v>0</v>
      </c>
      <c r="E65" s="167">
        <v>0</v>
      </c>
      <c r="F65" s="167">
        <v>0</v>
      </c>
    </row>
    <row r="66" spans="2:6" ht="15.75" thickBot="1" x14ac:dyDescent="0.3">
      <c r="B66" s="218" t="s">
        <v>44</v>
      </c>
      <c r="C66" s="992" t="s">
        <v>1277</v>
      </c>
      <c r="D66" s="993"/>
      <c r="E66" s="993"/>
      <c r="F66" s="994"/>
    </row>
    <row r="67" spans="2:6" ht="15.75" customHeight="1" thickBot="1" x14ac:dyDescent="0.3">
      <c r="B67" s="62" t="s">
        <v>17</v>
      </c>
      <c r="C67" s="983" t="s">
        <v>1278</v>
      </c>
      <c r="D67" s="984"/>
      <c r="E67" s="984"/>
      <c r="F67" s="985"/>
    </row>
    <row r="68" spans="2:6" ht="15.75" thickBot="1" x14ac:dyDescent="0.3">
      <c r="B68" s="62" t="s">
        <v>18</v>
      </c>
      <c r="C68" s="995" t="s">
        <v>1279</v>
      </c>
      <c r="D68" s="996"/>
      <c r="E68" s="996"/>
      <c r="F68" s="997"/>
    </row>
    <row r="69" spans="2:6" ht="15.75" thickBot="1" x14ac:dyDescent="0.3">
      <c r="B69" s="62" t="s">
        <v>19</v>
      </c>
      <c r="C69" s="161">
        <v>5</v>
      </c>
      <c r="D69" s="161">
        <v>5</v>
      </c>
      <c r="E69" s="161">
        <v>5</v>
      </c>
      <c r="F69" s="161">
        <v>5</v>
      </c>
    </row>
    <row r="70" spans="2:6" x14ac:dyDescent="0.25">
      <c r="B70" s="998"/>
      <c r="C70" s="63">
        <v>2018</v>
      </c>
      <c r="D70" s="63">
        <v>2019</v>
      </c>
      <c r="E70" s="63">
        <v>2020</v>
      </c>
      <c r="F70" s="63">
        <v>2021</v>
      </c>
    </row>
    <row r="71" spans="2:6" ht="15.75" thickBot="1" x14ac:dyDescent="0.3">
      <c r="B71" s="999"/>
      <c r="C71" s="64" t="s">
        <v>10</v>
      </c>
      <c r="D71" s="64" t="s">
        <v>11</v>
      </c>
      <c r="E71" s="64" t="s">
        <v>11</v>
      </c>
      <c r="F71" s="64" t="s">
        <v>11</v>
      </c>
    </row>
    <row r="72" spans="2:6" ht="15.75" thickBot="1" x14ac:dyDescent="0.3">
      <c r="B72" s="62" t="s">
        <v>20</v>
      </c>
      <c r="C72" s="161">
        <v>8297.9330000000009</v>
      </c>
      <c r="D72" s="161">
        <v>10685.019</v>
      </c>
      <c r="E72" s="161">
        <v>10685.019</v>
      </c>
      <c r="F72" s="161">
        <v>10685.019</v>
      </c>
    </row>
    <row r="73" spans="2:6" ht="15.75" thickBot="1" x14ac:dyDescent="0.3">
      <c r="B73" s="62" t="s">
        <v>21</v>
      </c>
      <c r="C73" s="161">
        <v>1659.5866000000001</v>
      </c>
      <c r="D73" s="161">
        <v>2137.0038</v>
      </c>
      <c r="E73" s="161">
        <v>2137.0038</v>
      </c>
      <c r="F73" s="161">
        <v>2137.0038</v>
      </c>
    </row>
    <row r="74" spans="2:6" ht="15.75" thickBot="1" x14ac:dyDescent="0.3">
      <c r="B74" s="62" t="s">
        <v>22</v>
      </c>
      <c r="C74" s="636"/>
      <c r="D74" s="162">
        <v>0</v>
      </c>
      <c r="E74" s="162">
        <v>0</v>
      </c>
      <c r="F74" s="162">
        <v>0</v>
      </c>
    </row>
    <row r="75" spans="2:6" ht="15.75" thickBot="1" x14ac:dyDescent="0.3">
      <c r="B75" s="62" t="s">
        <v>24</v>
      </c>
      <c r="C75" s="636"/>
      <c r="D75" s="162">
        <v>0.28767236370792593</v>
      </c>
      <c r="E75" s="162">
        <v>0</v>
      </c>
      <c r="F75" s="162">
        <v>0</v>
      </c>
    </row>
    <row r="76" spans="2:6" ht="15.75" thickBot="1" x14ac:dyDescent="0.3">
      <c r="B76" s="62" t="s">
        <v>25</v>
      </c>
      <c r="C76" s="636"/>
      <c r="D76" s="162">
        <v>0.2876723637079257</v>
      </c>
      <c r="E76" s="162">
        <v>0</v>
      </c>
      <c r="F76" s="162">
        <v>0</v>
      </c>
    </row>
    <row r="77" spans="2:6" ht="15.75" customHeight="1" thickBot="1" x14ac:dyDescent="0.3">
      <c r="B77" s="1000" t="s">
        <v>982</v>
      </c>
      <c r="C77" s="1001"/>
      <c r="D77" s="1001"/>
      <c r="E77" s="1001"/>
      <c r="F77" s="1002"/>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5" t="s">
        <v>26</v>
      </c>
      <c r="C80" s="164">
        <v>3666.6669999999999</v>
      </c>
      <c r="D80" s="164">
        <v>5525.2389999999996</v>
      </c>
      <c r="E80" s="164">
        <v>5525.2389999999996</v>
      </c>
      <c r="F80" s="164">
        <v>5525.2389999999996</v>
      </c>
    </row>
    <row r="81" spans="2:6" ht="15.75" thickBot="1" x14ac:dyDescent="0.3">
      <c r="B81" s="65" t="s">
        <v>28</v>
      </c>
      <c r="C81" s="164">
        <v>596.73299999999995</v>
      </c>
      <c r="D81" s="164">
        <v>897.94899999999996</v>
      </c>
      <c r="E81" s="164">
        <v>897.94899999999996</v>
      </c>
      <c r="F81" s="164">
        <v>897.94899999999996</v>
      </c>
    </row>
    <row r="82" spans="2:6" ht="15.75" thickBot="1" x14ac:dyDescent="0.3">
      <c r="B82" s="65" t="s">
        <v>30</v>
      </c>
      <c r="C82" s="165">
        <v>2574.5329999999999</v>
      </c>
      <c r="D82" s="164">
        <v>2719.578</v>
      </c>
      <c r="E82" s="164">
        <v>2719.578</v>
      </c>
      <c r="F82" s="164">
        <v>2719.578</v>
      </c>
    </row>
    <row r="83" spans="2:6" ht="15.75" thickBot="1" x14ac:dyDescent="0.3">
      <c r="B83" s="65" t="s">
        <v>32</v>
      </c>
      <c r="C83" s="165">
        <v>0</v>
      </c>
      <c r="D83" s="164">
        <v>0</v>
      </c>
      <c r="E83" s="164">
        <v>0</v>
      </c>
      <c r="F83" s="164">
        <v>0</v>
      </c>
    </row>
    <row r="84" spans="2:6" ht="15.75" thickBot="1" x14ac:dyDescent="0.3">
      <c r="B84" s="65" t="s">
        <v>34</v>
      </c>
      <c r="C84" s="165">
        <v>0</v>
      </c>
      <c r="D84" s="164">
        <v>0</v>
      </c>
      <c r="E84" s="164">
        <v>0</v>
      </c>
      <c r="F84" s="164">
        <v>0</v>
      </c>
    </row>
    <row r="85" spans="2:6" ht="15.75" thickBot="1" x14ac:dyDescent="0.3">
      <c r="B85" s="65" t="s">
        <v>36</v>
      </c>
      <c r="C85" s="165">
        <v>1460</v>
      </c>
      <c r="D85" s="164">
        <v>1542.2529999999999</v>
      </c>
      <c r="E85" s="164">
        <v>1542.2529999999999</v>
      </c>
      <c r="F85" s="164">
        <v>1542.2529999999999</v>
      </c>
    </row>
    <row r="86" spans="2:6" ht="15.75" thickBot="1" x14ac:dyDescent="0.3">
      <c r="B86" s="65" t="s">
        <v>38</v>
      </c>
      <c r="C86" s="165">
        <v>0</v>
      </c>
      <c r="D86" s="164">
        <v>0</v>
      </c>
      <c r="E86" s="164">
        <v>0</v>
      </c>
      <c r="F86" s="164">
        <v>0</v>
      </c>
    </row>
    <row r="87" spans="2:6" ht="15.75" thickBot="1" x14ac:dyDescent="0.3">
      <c r="B87" s="66" t="s">
        <v>1273</v>
      </c>
      <c r="C87" s="165">
        <v>8297.9330000000009</v>
      </c>
      <c r="D87" s="165">
        <v>10685.019</v>
      </c>
      <c r="E87" s="165">
        <v>10685.019</v>
      </c>
      <c r="F87" s="165">
        <v>10685.019</v>
      </c>
    </row>
    <row r="88" spans="2:6" ht="15.75" thickBot="1" x14ac:dyDescent="0.3">
      <c r="B88" s="166" t="s">
        <v>41</v>
      </c>
      <c r="C88" s="167">
        <v>0</v>
      </c>
      <c r="D88" s="167">
        <v>0</v>
      </c>
      <c r="E88" s="167">
        <v>0</v>
      </c>
      <c r="F88" s="167">
        <v>0</v>
      </c>
    </row>
    <row r="89" spans="2:6" ht="15.75" thickBot="1" x14ac:dyDescent="0.3">
      <c r="B89" s="1027" t="s">
        <v>69</v>
      </c>
      <c r="C89" s="1028"/>
      <c r="D89" s="1028"/>
      <c r="E89" s="1028"/>
      <c r="F89" s="1029"/>
    </row>
    <row r="90" spans="2:6" ht="15.75" thickBot="1" x14ac:dyDescent="0.3">
      <c r="B90" s="1030" t="s">
        <v>70</v>
      </c>
      <c r="C90" s="1031"/>
      <c r="D90" s="1031"/>
      <c r="E90" s="1031"/>
      <c r="F90" s="1032"/>
    </row>
    <row r="91" spans="2:6" x14ac:dyDescent="0.25">
      <c r="B91" s="998"/>
      <c r="C91" s="63">
        <v>2018</v>
      </c>
      <c r="D91" s="63">
        <v>2019</v>
      </c>
      <c r="E91" s="63">
        <v>2020</v>
      </c>
      <c r="F91" s="63">
        <v>2021</v>
      </c>
    </row>
    <row r="92" spans="2:6" ht="15.75" thickBot="1" x14ac:dyDescent="0.3">
      <c r="B92" s="999"/>
      <c r="C92" s="64" t="s">
        <v>10</v>
      </c>
      <c r="D92" s="64" t="s">
        <v>11</v>
      </c>
      <c r="E92" s="64" t="s">
        <v>11</v>
      </c>
      <c r="F92" s="64" t="s">
        <v>11</v>
      </c>
    </row>
    <row r="93" spans="2:6" ht="37.5" customHeight="1" thickBot="1" x14ac:dyDescent="0.3">
      <c r="B93" s="160" t="s">
        <v>16</v>
      </c>
      <c r="C93" s="1007" t="s">
        <v>1280</v>
      </c>
      <c r="D93" s="1006"/>
      <c r="E93" s="1006"/>
      <c r="F93" s="1008"/>
    </row>
    <row r="94" spans="2:6" ht="15.75" customHeight="1" thickBot="1" x14ac:dyDescent="0.3">
      <c r="B94" s="62" t="s">
        <v>17</v>
      </c>
      <c r="C94" s="983" t="s">
        <v>1281</v>
      </c>
      <c r="D94" s="984"/>
      <c r="E94" s="984"/>
      <c r="F94" s="985"/>
    </row>
    <row r="95" spans="2:6" ht="15.75" thickBot="1" x14ac:dyDescent="0.3">
      <c r="B95" s="62" t="s">
        <v>18</v>
      </c>
      <c r="C95" s="995" t="s">
        <v>1276</v>
      </c>
      <c r="D95" s="996"/>
      <c r="E95" s="996"/>
      <c r="F95" s="997"/>
    </row>
    <row r="96" spans="2:6" x14ac:dyDescent="0.25">
      <c r="B96" s="998"/>
      <c r="C96" s="63">
        <v>2018</v>
      </c>
      <c r="D96" s="63">
        <v>2019</v>
      </c>
      <c r="E96" s="63">
        <v>2020</v>
      </c>
      <c r="F96" s="63">
        <v>2021</v>
      </c>
    </row>
    <row r="97" spans="2:6" ht="15.75" thickBot="1" x14ac:dyDescent="0.3">
      <c r="B97" s="999"/>
      <c r="C97" s="64" t="s">
        <v>10</v>
      </c>
      <c r="D97" s="64" t="s">
        <v>11</v>
      </c>
      <c r="E97" s="64" t="s">
        <v>11</v>
      </c>
      <c r="F97" s="64" t="s">
        <v>11</v>
      </c>
    </row>
    <row r="98" spans="2:6" ht="15.75" thickBot="1" x14ac:dyDescent="0.3">
      <c r="B98" s="62" t="s">
        <v>19</v>
      </c>
      <c r="C98" s="161">
        <v>12</v>
      </c>
      <c r="D98" s="203">
        <v>12</v>
      </c>
      <c r="E98" s="203">
        <v>12</v>
      </c>
      <c r="F98" s="203">
        <v>12</v>
      </c>
    </row>
    <row r="99" spans="2:6" ht="15.75" thickBot="1" x14ac:dyDescent="0.3">
      <c r="B99" s="62" t="s">
        <v>20</v>
      </c>
      <c r="C99" s="161">
        <v>12446.9</v>
      </c>
      <c r="D99" s="161">
        <v>12822.022999999999</v>
      </c>
      <c r="E99" s="161">
        <v>12822.022999999999</v>
      </c>
      <c r="F99" s="161">
        <v>12822.022999999999</v>
      </c>
    </row>
    <row r="100" spans="2:6" ht="15.75" thickBot="1" x14ac:dyDescent="0.3">
      <c r="B100" s="62" t="s">
        <v>21</v>
      </c>
      <c r="C100" s="161">
        <v>1037.2416666666666</v>
      </c>
      <c r="D100" s="161">
        <v>1068.5019166666668</v>
      </c>
      <c r="E100" s="161">
        <v>1068.5019166666668</v>
      </c>
      <c r="F100" s="161">
        <v>1068.5019166666668</v>
      </c>
    </row>
    <row r="101" spans="2:6" ht="15.75" thickBot="1" x14ac:dyDescent="0.3">
      <c r="B101" s="62" t="s">
        <v>22</v>
      </c>
      <c r="C101" s="636"/>
      <c r="D101" s="162">
        <v>0</v>
      </c>
      <c r="E101" s="162">
        <v>0</v>
      </c>
      <c r="F101" s="162">
        <v>0</v>
      </c>
    </row>
    <row r="102" spans="2:6" ht="15.75" thickBot="1" x14ac:dyDescent="0.3">
      <c r="B102" s="62" t="s">
        <v>24</v>
      </c>
      <c r="C102" s="636"/>
      <c r="D102" s="162">
        <v>3.0137865653295126E-2</v>
      </c>
      <c r="E102" s="162">
        <v>0</v>
      </c>
      <c r="F102" s="162">
        <v>0</v>
      </c>
    </row>
    <row r="103" spans="2:6" ht="15.75" thickBot="1" x14ac:dyDescent="0.3">
      <c r="B103" s="62" t="s">
        <v>25</v>
      </c>
      <c r="C103" s="636"/>
      <c r="D103" s="162">
        <v>3.0137865653295348E-2</v>
      </c>
      <c r="E103" s="162">
        <v>0</v>
      </c>
      <c r="F103" s="162">
        <v>0</v>
      </c>
    </row>
    <row r="104" spans="2:6" x14ac:dyDescent="0.25">
      <c r="B104" s="998"/>
      <c r="C104" s="63">
        <v>2018</v>
      </c>
      <c r="D104" s="63">
        <v>2019</v>
      </c>
      <c r="E104" s="63">
        <v>2020</v>
      </c>
      <c r="F104" s="63">
        <v>2021</v>
      </c>
    </row>
    <row r="105" spans="2:6" ht="15.75" thickBot="1" x14ac:dyDescent="0.3">
      <c r="B105" s="999"/>
      <c r="C105" s="64" t="s">
        <v>10</v>
      </c>
      <c r="D105" s="64" t="s">
        <v>11</v>
      </c>
      <c r="E105" s="64" t="s">
        <v>11</v>
      </c>
      <c r="F105" s="64" t="s">
        <v>11</v>
      </c>
    </row>
    <row r="106" spans="2:6" ht="15.75" customHeight="1" thickBot="1" x14ac:dyDescent="0.3">
      <c r="B106" s="1000" t="s">
        <v>118</v>
      </c>
      <c r="C106" s="1001"/>
      <c r="D106" s="1001"/>
      <c r="E106" s="1001"/>
      <c r="F106" s="1002"/>
    </row>
    <row r="107" spans="2:6" x14ac:dyDescent="0.25">
      <c r="B107" s="998"/>
      <c r="C107" s="63">
        <v>2018</v>
      </c>
      <c r="D107" s="63">
        <v>2019</v>
      </c>
      <c r="E107" s="63">
        <v>2020</v>
      </c>
      <c r="F107" s="63">
        <v>2021</v>
      </c>
    </row>
    <row r="108" spans="2:6" ht="15.75" thickBot="1" x14ac:dyDescent="0.3">
      <c r="B108" s="999"/>
      <c r="C108" s="64" t="s">
        <v>10</v>
      </c>
      <c r="D108" s="64" t="s">
        <v>11</v>
      </c>
      <c r="E108" s="64" t="s">
        <v>11</v>
      </c>
      <c r="F108" s="64" t="s">
        <v>11</v>
      </c>
    </row>
    <row r="109" spans="2:6" ht="15.75" thickBot="1" x14ac:dyDescent="0.3">
      <c r="B109" s="65" t="s">
        <v>26</v>
      </c>
      <c r="C109" s="164">
        <v>5500</v>
      </c>
      <c r="D109" s="164">
        <v>6630.2879999999996</v>
      </c>
      <c r="E109" s="164">
        <v>6630.2879999999996</v>
      </c>
      <c r="F109" s="164">
        <v>6630.2879999999996</v>
      </c>
    </row>
    <row r="110" spans="2:6" ht="15.75" thickBot="1" x14ac:dyDescent="0.3">
      <c r="B110" s="65" t="s">
        <v>28</v>
      </c>
      <c r="C110" s="164">
        <v>895.1</v>
      </c>
      <c r="D110" s="164">
        <v>1077.538</v>
      </c>
      <c r="E110" s="164">
        <v>1077.538</v>
      </c>
      <c r="F110" s="164">
        <v>1077.538</v>
      </c>
    </row>
    <row r="111" spans="2:6" ht="15.75" thickBot="1" x14ac:dyDescent="0.3">
      <c r="B111" s="65" t="s">
        <v>30</v>
      </c>
      <c r="C111" s="165">
        <v>3861.8</v>
      </c>
      <c r="D111" s="164">
        <v>3263.4929999999999</v>
      </c>
      <c r="E111" s="164">
        <v>3263.4929999999999</v>
      </c>
      <c r="F111" s="164">
        <v>3263.4929999999999</v>
      </c>
    </row>
    <row r="112" spans="2:6" ht="15.75" thickBot="1" x14ac:dyDescent="0.3">
      <c r="B112" s="65" t="s">
        <v>32</v>
      </c>
      <c r="C112" s="165">
        <v>0</v>
      </c>
      <c r="D112" s="164">
        <v>0</v>
      </c>
      <c r="E112" s="164">
        <v>0</v>
      </c>
      <c r="F112" s="164">
        <v>0</v>
      </c>
    </row>
    <row r="113" spans="2:6" ht="15.75" thickBot="1" x14ac:dyDescent="0.3">
      <c r="B113" s="65" t="s">
        <v>34</v>
      </c>
      <c r="C113" s="165">
        <v>0</v>
      </c>
      <c r="D113" s="164">
        <v>0</v>
      </c>
      <c r="E113" s="164">
        <v>0</v>
      </c>
      <c r="F113" s="164">
        <v>0</v>
      </c>
    </row>
    <row r="114" spans="2:6" ht="15.75" thickBot="1" x14ac:dyDescent="0.3">
      <c r="B114" s="65" t="s">
        <v>36</v>
      </c>
      <c r="C114" s="165">
        <v>2190</v>
      </c>
      <c r="D114" s="164">
        <v>1850.704</v>
      </c>
      <c r="E114" s="164">
        <v>1850.704</v>
      </c>
      <c r="F114" s="164">
        <v>1850.704</v>
      </c>
    </row>
    <row r="115" spans="2:6" ht="15.75" thickBot="1" x14ac:dyDescent="0.3">
      <c r="B115" s="65" t="s">
        <v>38</v>
      </c>
      <c r="C115" s="165">
        <v>0</v>
      </c>
      <c r="D115" s="164">
        <v>0</v>
      </c>
      <c r="E115" s="164">
        <v>0</v>
      </c>
      <c r="F115" s="164">
        <v>0</v>
      </c>
    </row>
    <row r="116" spans="2:6" ht="15.75" thickBot="1" x14ac:dyDescent="0.3">
      <c r="B116" s="66" t="s">
        <v>1273</v>
      </c>
      <c r="C116" s="205">
        <v>12446.9</v>
      </c>
      <c r="D116" s="205">
        <v>12822.022999999999</v>
      </c>
      <c r="E116" s="205">
        <v>12822.022999999999</v>
      </c>
      <c r="F116" s="205">
        <v>12822.022999999999</v>
      </c>
    </row>
    <row r="117" spans="2:6" ht="15.75" thickBot="1" x14ac:dyDescent="0.3">
      <c r="B117" s="166" t="s">
        <v>41</v>
      </c>
      <c r="C117" s="167">
        <v>0</v>
      </c>
      <c r="D117" s="167">
        <v>0</v>
      </c>
      <c r="E117" s="167">
        <v>0</v>
      </c>
      <c r="F117" s="167">
        <v>0</v>
      </c>
    </row>
    <row r="118" spans="2:6" ht="15.75" thickBot="1" x14ac:dyDescent="0.3">
      <c r="B118" s="1027" t="s">
        <v>77</v>
      </c>
      <c r="C118" s="1028"/>
      <c r="D118" s="1028"/>
      <c r="E118" s="1028"/>
      <c r="F118" s="1029"/>
    </row>
    <row r="119" spans="2:6" ht="15.75" thickBot="1" x14ac:dyDescent="0.3">
      <c r="B119" s="1030" t="s">
        <v>70</v>
      </c>
      <c r="C119" s="1031"/>
      <c r="D119" s="1031"/>
      <c r="E119" s="1031"/>
      <c r="F119" s="1032"/>
    </row>
    <row r="120" spans="2:6" x14ac:dyDescent="0.25">
      <c r="B120" s="998"/>
      <c r="C120" s="63">
        <v>2018</v>
      </c>
      <c r="D120" s="63">
        <v>2019</v>
      </c>
      <c r="E120" s="63">
        <v>2020</v>
      </c>
      <c r="F120" s="63">
        <v>2021</v>
      </c>
    </row>
    <row r="121" spans="2:6" ht="15.75" thickBot="1" x14ac:dyDescent="0.3">
      <c r="B121" s="999"/>
      <c r="C121" s="64" t="s">
        <v>10</v>
      </c>
      <c r="D121" s="64" t="s">
        <v>11</v>
      </c>
      <c r="E121" s="64" t="s">
        <v>11</v>
      </c>
      <c r="F121" s="64" t="s">
        <v>11</v>
      </c>
    </row>
    <row r="122" spans="2:6" ht="15.75" thickBot="1" x14ac:dyDescent="0.3">
      <c r="B122" s="160" t="s">
        <v>16</v>
      </c>
      <c r="C122" s="992" t="s">
        <v>1282</v>
      </c>
      <c r="D122" s="993"/>
      <c r="E122" s="993"/>
      <c r="F122" s="994"/>
    </row>
    <row r="123" spans="2:6" ht="15.75" customHeight="1" thickBot="1" x14ac:dyDescent="0.3">
      <c r="B123" s="62" t="s">
        <v>17</v>
      </c>
      <c r="C123" s="983" t="s">
        <v>1283</v>
      </c>
      <c r="D123" s="984"/>
      <c r="E123" s="984"/>
      <c r="F123" s="985"/>
    </row>
    <row r="124" spans="2:6" ht="15.75" thickBot="1" x14ac:dyDescent="0.3">
      <c r="B124" s="62" t="s">
        <v>18</v>
      </c>
      <c r="C124" s="995" t="s">
        <v>1279</v>
      </c>
      <c r="D124" s="996"/>
      <c r="E124" s="996"/>
      <c r="F124" s="997"/>
    </row>
    <row r="125" spans="2:6" x14ac:dyDescent="0.25">
      <c r="B125" s="998"/>
      <c r="C125" s="63">
        <v>2018</v>
      </c>
      <c r="D125" s="63">
        <v>2019</v>
      </c>
      <c r="E125" s="63">
        <v>2020</v>
      </c>
      <c r="F125" s="63">
        <v>2021</v>
      </c>
    </row>
    <row r="126" spans="2:6" ht="15.75" thickBot="1" x14ac:dyDescent="0.3">
      <c r="B126" s="999"/>
      <c r="C126" s="64" t="s">
        <v>10</v>
      </c>
      <c r="D126" s="64" t="s">
        <v>11</v>
      </c>
      <c r="E126" s="64" t="s">
        <v>11</v>
      </c>
      <c r="F126" s="64" t="s">
        <v>11</v>
      </c>
    </row>
    <row r="127" spans="2:6" ht="15.75" thickBot="1" x14ac:dyDescent="0.3">
      <c r="B127" s="62" t="s">
        <v>19</v>
      </c>
      <c r="C127" s="161">
        <v>10</v>
      </c>
      <c r="D127" s="203">
        <v>15</v>
      </c>
      <c r="E127" s="203">
        <v>15</v>
      </c>
      <c r="F127" s="203">
        <v>15</v>
      </c>
    </row>
    <row r="128" spans="2:6" ht="15.75" thickBot="1" x14ac:dyDescent="0.3">
      <c r="B128" s="62" t="s">
        <v>20</v>
      </c>
      <c r="C128" s="161">
        <v>6223.45</v>
      </c>
      <c r="D128" s="161">
        <v>6411.0110000000004</v>
      </c>
      <c r="E128" s="161">
        <v>6411.0110000000004</v>
      </c>
      <c r="F128" s="161">
        <v>6411.0110000000004</v>
      </c>
    </row>
    <row r="129" spans="2:6" ht="15.75" thickBot="1" x14ac:dyDescent="0.3">
      <c r="B129" s="62" t="s">
        <v>21</v>
      </c>
      <c r="C129" s="161">
        <v>622.34500000000003</v>
      </c>
      <c r="D129" s="161">
        <v>427.40073333333333</v>
      </c>
      <c r="E129" s="161">
        <v>427.40073333333333</v>
      </c>
      <c r="F129" s="161">
        <v>427.40073333333333</v>
      </c>
    </row>
    <row r="130" spans="2:6" ht="15.75" thickBot="1" x14ac:dyDescent="0.3">
      <c r="B130" s="62" t="s">
        <v>22</v>
      </c>
      <c r="C130" s="636"/>
      <c r="D130" s="162">
        <v>0.5</v>
      </c>
      <c r="E130" s="162">
        <v>0</v>
      </c>
      <c r="F130" s="162">
        <v>0</v>
      </c>
    </row>
    <row r="131" spans="2:6" ht="15.75" thickBot="1" x14ac:dyDescent="0.3">
      <c r="B131" s="62" t="s">
        <v>24</v>
      </c>
      <c r="C131" s="636"/>
      <c r="D131" s="162">
        <v>3.0137785312005505E-2</v>
      </c>
      <c r="E131" s="162">
        <v>0</v>
      </c>
      <c r="F131" s="162">
        <v>0</v>
      </c>
    </row>
    <row r="132" spans="2:6" ht="15.75" thickBot="1" x14ac:dyDescent="0.3">
      <c r="B132" s="62" t="s">
        <v>25</v>
      </c>
      <c r="C132" s="636"/>
      <c r="D132" s="162">
        <v>-0.31324147645866307</v>
      </c>
      <c r="E132" s="162">
        <v>0</v>
      </c>
      <c r="F132" s="162">
        <v>0</v>
      </c>
    </row>
    <row r="133" spans="2:6" x14ac:dyDescent="0.25">
      <c r="B133" s="998"/>
      <c r="C133" s="63">
        <v>2018</v>
      </c>
      <c r="D133" s="63">
        <v>2019</v>
      </c>
      <c r="E133" s="63">
        <v>2020</v>
      </c>
      <c r="F133" s="63">
        <v>2021</v>
      </c>
    </row>
    <row r="134" spans="2:6" ht="15.75" thickBot="1" x14ac:dyDescent="0.3">
      <c r="B134" s="999"/>
      <c r="C134" s="64" t="s">
        <v>10</v>
      </c>
      <c r="D134" s="64" t="s">
        <v>11</v>
      </c>
      <c r="E134" s="64" t="s">
        <v>11</v>
      </c>
      <c r="F134" s="64" t="s">
        <v>11</v>
      </c>
    </row>
    <row r="135" spans="2:6" ht="15.75" customHeight="1" thickBot="1" x14ac:dyDescent="0.3">
      <c r="B135" s="1000" t="s">
        <v>118</v>
      </c>
      <c r="C135" s="1001"/>
      <c r="D135" s="1001"/>
      <c r="E135" s="1001"/>
      <c r="F135" s="1002"/>
    </row>
    <row r="136" spans="2:6" x14ac:dyDescent="0.25">
      <c r="B136" s="998"/>
      <c r="C136" s="63">
        <v>2018</v>
      </c>
      <c r="D136" s="63">
        <v>2019</v>
      </c>
      <c r="E136" s="63">
        <v>2020</v>
      </c>
      <c r="F136" s="63">
        <v>2021</v>
      </c>
    </row>
    <row r="137" spans="2:6" ht="15.75" thickBot="1" x14ac:dyDescent="0.3">
      <c r="B137" s="999"/>
      <c r="C137" s="64" t="s">
        <v>10</v>
      </c>
      <c r="D137" s="64" t="s">
        <v>11</v>
      </c>
      <c r="E137" s="64" t="s">
        <v>11</v>
      </c>
      <c r="F137" s="64" t="s">
        <v>11</v>
      </c>
    </row>
    <row r="138" spans="2:6" ht="15.75" thickBot="1" x14ac:dyDescent="0.3">
      <c r="B138" s="65" t="s">
        <v>26</v>
      </c>
      <c r="C138" s="164">
        <v>2750</v>
      </c>
      <c r="D138" s="164">
        <v>3315.1439999999998</v>
      </c>
      <c r="E138" s="164">
        <v>3315.1439999999998</v>
      </c>
      <c r="F138" s="164">
        <v>3315.1439999999998</v>
      </c>
    </row>
    <row r="139" spans="2:6" ht="15.75" thickBot="1" x14ac:dyDescent="0.3">
      <c r="B139" s="65" t="s">
        <v>28</v>
      </c>
      <c r="C139" s="164">
        <v>447.55</v>
      </c>
      <c r="D139" s="164">
        <v>538.76900000000001</v>
      </c>
      <c r="E139" s="164">
        <v>538.76900000000001</v>
      </c>
      <c r="F139" s="164">
        <v>538.76900000000001</v>
      </c>
    </row>
    <row r="140" spans="2:6" ht="15.75" thickBot="1" x14ac:dyDescent="0.3">
      <c r="B140" s="65" t="s">
        <v>30</v>
      </c>
      <c r="C140" s="165">
        <v>1930.9</v>
      </c>
      <c r="D140" s="164">
        <v>1631.7460000000001</v>
      </c>
      <c r="E140" s="164">
        <v>1631.7460000000001</v>
      </c>
      <c r="F140" s="164">
        <v>1631.7460000000001</v>
      </c>
    </row>
    <row r="141" spans="2:6" ht="15.75" thickBot="1" x14ac:dyDescent="0.3">
      <c r="B141" s="65" t="s">
        <v>32</v>
      </c>
      <c r="C141" s="165">
        <v>0</v>
      </c>
      <c r="D141" s="164">
        <v>0</v>
      </c>
      <c r="E141" s="164">
        <v>0</v>
      </c>
      <c r="F141" s="164">
        <v>0</v>
      </c>
    </row>
    <row r="142" spans="2:6" ht="15.75" thickBot="1" x14ac:dyDescent="0.3">
      <c r="B142" s="65" t="s">
        <v>34</v>
      </c>
      <c r="C142" s="165">
        <v>0</v>
      </c>
      <c r="D142" s="164">
        <v>0</v>
      </c>
      <c r="E142" s="164">
        <v>0</v>
      </c>
      <c r="F142" s="164">
        <v>0</v>
      </c>
    </row>
    <row r="143" spans="2:6" ht="15.75" thickBot="1" x14ac:dyDescent="0.3">
      <c r="B143" s="65" t="s">
        <v>36</v>
      </c>
      <c r="C143" s="165">
        <v>1095</v>
      </c>
      <c r="D143" s="164">
        <v>925.35199999999998</v>
      </c>
      <c r="E143" s="164">
        <v>925.35199999999998</v>
      </c>
      <c r="F143" s="164">
        <v>925.35199999999998</v>
      </c>
    </row>
    <row r="144" spans="2:6" ht="15.75" thickBot="1" x14ac:dyDescent="0.3">
      <c r="B144" s="65" t="s">
        <v>38</v>
      </c>
      <c r="C144" s="165">
        <v>0</v>
      </c>
      <c r="D144" s="164">
        <v>0</v>
      </c>
      <c r="E144" s="164">
        <v>0</v>
      </c>
      <c r="F144" s="164">
        <v>0</v>
      </c>
    </row>
    <row r="145" spans="2:6" ht="15.75" thickBot="1" x14ac:dyDescent="0.3">
      <c r="B145" s="66" t="s">
        <v>1273</v>
      </c>
      <c r="C145" s="205">
        <v>6223.45</v>
      </c>
      <c r="D145" s="205">
        <v>6411.0110000000004</v>
      </c>
      <c r="E145" s="205">
        <v>6411.0110000000004</v>
      </c>
      <c r="F145" s="205">
        <v>6411.0110000000004</v>
      </c>
    </row>
    <row r="146" spans="2:6" ht="15.75" thickBot="1" x14ac:dyDescent="0.3">
      <c r="B146" s="166" t="s">
        <v>41</v>
      </c>
      <c r="C146" s="167">
        <v>0</v>
      </c>
      <c r="D146" s="167">
        <v>0</v>
      </c>
      <c r="E146" s="167">
        <v>0</v>
      </c>
      <c r="F146" s="167">
        <v>0</v>
      </c>
    </row>
    <row r="147" spans="2:6" ht="15.75" thickBot="1" x14ac:dyDescent="0.3">
      <c r="B147" s="195" t="s">
        <v>125</v>
      </c>
      <c r="C147" s="992" t="s">
        <v>1284</v>
      </c>
      <c r="D147" s="993"/>
      <c r="E147" s="993"/>
      <c r="F147" s="994"/>
    </row>
    <row r="148" spans="2:6" ht="43.5" customHeight="1" thickBot="1" x14ac:dyDescent="0.3">
      <c r="B148" s="62" t="s">
        <v>17</v>
      </c>
      <c r="C148" s="983" t="s">
        <v>1285</v>
      </c>
      <c r="D148" s="984"/>
      <c r="E148" s="984"/>
      <c r="F148" s="985"/>
    </row>
    <row r="149" spans="2:6" ht="15.75" thickBot="1" x14ac:dyDescent="0.3">
      <c r="B149" s="62" t="s">
        <v>18</v>
      </c>
      <c r="C149" s="995" t="s">
        <v>1279</v>
      </c>
      <c r="D149" s="996"/>
      <c r="E149" s="996"/>
      <c r="F149" s="997"/>
    </row>
    <row r="150" spans="2:6" x14ac:dyDescent="0.25">
      <c r="B150" s="998"/>
      <c r="C150" s="63">
        <v>2018</v>
      </c>
      <c r="D150" s="63">
        <v>2019</v>
      </c>
      <c r="E150" s="63">
        <v>2020</v>
      </c>
      <c r="F150" s="63">
        <v>2021</v>
      </c>
    </row>
    <row r="151" spans="2:6" ht="15.75" thickBot="1" x14ac:dyDescent="0.3">
      <c r="B151" s="999"/>
      <c r="C151" s="64" t="s">
        <v>10</v>
      </c>
      <c r="D151" s="64" t="s">
        <v>11</v>
      </c>
      <c r="E151" s="64" t="s">
        <v>11</v>
      </c>
      <c r="F151" s="64" t="s">
        <v>11</v>
      </c>
    </row>
    <row r="152" spans="2:6" ht="15.75" thickBot="1" x14ac:dyDescent="0.3">
      <c r="B152" s="62" t="s">
        <v>19</v>
      </c>
      <c r="C152" s="161">
        <v>7</v>
      </c>
      <c r="D152" s="161">
        <v>7</v>
      </c>
      <c r="E152" s="161">
        <v>7</v>
      </c>
      <c r="F152" s="161">
        <v>7</v>
      </c>
    </row>
    <row r="153" spans="2:6" ht="15.75" thickBot="1" x14ac:dyDescent="0.3">
      <c r="B153" s="62" t="s">
        <v>20</v>
      </c>
      <c r="C153" s="161">
        <v>6223.45</v>
      </c>
      <c r="D153" s="161">
        <v>6411.0110000000004</v>
      </c>
      <c r="E153" s="161">
        <v>6411.0110000000004</v>
      </c>
      <c r="F153" s="161">
        <v>6411.0110000000004</v>
      </c>
    </row>
    <row r="154" spans="2:6" ht="15.75" thickBot="1" x14ac:dyDescent="0.3">
      <c r="B154" s="62" t="s">
        <v>21</v>
      </c>
      <c r="C154" s="161">
        <v>889.06428571428569</v>
      </c>
      <c r="D154" s="161">
        <v>915.85871428571431</v>
      </c>
      <c r="E154" s="161">
        <v>915.85871428571431</v>
      </c>
      <c r="F154" s="161">
        <v>915.85871428571431</v>
      </c>
    </row>
    <row r="155" spans="2:6" ht="15.75" thickBot="1" x14ac:dyDescent="0.3">
      <c r="B155" s="62" t="s">
        <v>22</v>
      </c>
      <c r="C155" s="636"/>
      <c r="D155" s="162">
        <v>0</v>
      </c>
      <c r="E155" s="162">
        <v>0</v>
      </c>
      <c r="F155" s="162">
        <v>0</v>
      </c>
    </row>
    <row r="156" spans="2:6" ht="15.75" thickBot="1" x14ac:dyDescent="0.3">
      <c r="B156" s="62" t="s">
        <v>24</v>
      </c>
      <c r="C156" s="636"/>
      <c r="D156" s="162">
        <v>3.0137785312005505E-2</v>
      </c>
      <c r="E156" s="162">
        <v>0</v>
      </c>
      <c r="F156" s="162">
        <v>0</v>
      </c>
    </row>
    <row r="157" spans="2:6" ht="15.75" thickBot="1" x14ac:dyDescent="0.3">
      <c r="B157" s="62" t="s">
        <v>25</v>
      </c>
      <c r="C157" s="636"/>
      <c r="D157" s="162">
        <v>3.0137785312005505E-2</v>
      </c>
      <c r="E157" s="162">
        <v>0</v>
      </c>
      <c r="F157" s="162">
        <v>0</v>
      </c>
    </row>
    <row r="158" spans="2:6" ht="15.75" customHeight="1" thickBot="1" x14ac:dyDescent="0.3">
      <c r="B158" s="1000" t="s">
        <v>891</v>
      </c>
      <c r="C158" s="1001"/>
      <c r="D158" s="1001"/>
      <c r="E158" s="1001"/>
      <c r="F158" s="1002"/>
    </row>
    <row r="159" spans="2:6" x14ac:dyDescent="0.25">
      <c r="B159" s="998"/>
      <c r="C159" s="63">
        <v>2018</v>
      </c>
      <c r="D159" s="63">
        <v>2019</v>
      </c>
      <c r="E159" s="63">
        <v>2020</v>
      </c>
      <c r="F159" s="63">
        <v>2021</v>
      </c>
    </row>
    <row r="160" spans="2:6" ht="15.75" thickBot="1" x14ac:dyDescent="0.3">
      <c r="B160" s="999"/>
      <c r="C160" s="64" t="s">
        <v>10</v>
      </c>
      <c r="D160" s="64" t="s">
        <v>11</v>
      </c>
      <c r="E160" s="64" t="s">
        <v>11</v>
      </c>
      <c r="F160" s="64" t="s">
        <v>11</v>
      </c>
    </row>
    <row r="161" spans="2:6" ht="15.75" thickBot="1" x14ac:dyDescent="0.3">
      <c r="B161" s="65" t="s">
        <v>26</v>
      </c>
      <c r="C161" s="164">
        <v>2750</v>
      </c>
      <c r="D161" s="164">
        <v>3315.1439999999998</v>
      </c>
      <c r="E161" s="164">
        <v>3315.1439999999998</v>
      </c>
      <c r="F161" s="164">
        <v>3315.1439999999998</v>
      </c>
    </row>
    <row r="162" spans="2:6" ht="15.75" thickBot="1" x14ac:dyDescent="0.3">
      <c r="B162" s="65" t="s">
        <v>28</v>
      </c>
      <c r="C162" s="164">
        <v>447.55</v>
      </c>
      <c r="D162" s="164">
        <v>538.76900000000001</v>
      </c>
      <c r="E162" s="164">
        <v>538.76900000000001</v>
      </c>
      <c r="F162" s="164">
        <v>538.76900000000001</v>
      </c>
    </row>
    <row r="163" spans="2:6" ht="15.75" thickBot="1" x14ac:dyDescent="0.3">
      <c r="B163" s="65" t="s">
        <v>30</v>
      </c>
      <c r="C163" s="165">
        <v>1930.9</v>
      </c>
      <c r="D163" s="164">
        <v>1631.7460000000001</v>
      </c>
      <c r="E163" s="164">
        <v>1631.7460000000001</v>
      </c>
      <c r="F163" s="164">
        <v>1631.7460000000001</v>
      </c>
    </row>
    <row r="164" spans="2:6" ht="15.75" thickBot="1" x14ac:dyDescent="0.3">
      <c r="B164" s="65" t="s">
        <v>32</v>
      </c>
      <c r="C164" s="165">
        <v>0</v>
      </c>
      <c r="D164" s="164">
        <v>0</v>
      </c>
      <c r="E164" s="164">
        <v>0</v>
      </c>
      <c r="F164" s="164">
        <v>0</v>
      </c>
    </row>
    <row r="165" spans="2:6" ht="15.75" thickBot="1" x14ac:dyDescent="0.3">
      <c r="B165" s="65" t="s">
        <v>34</v>
      </c>
      <c r="C165" s="165">
        <v>0</v>
      </c>
      <c r="D165" s="164">
        <v>0</v>
      </c>
      <c r="E165" s="164">
        <v>0</v>
      </c>
      <c r="F165" s="164">
        <v>0</v>
      </c>
    </row>
    <row r="166" spans="2:6" ht="15.75" thickBot="1" x14ac:dyDescent="0.3">
      <c r="B166" s="65" t="s">
        <v>36</v>
      </c>
      <c r="C166" s="165">
        <v>1095</v>
      </c>
      <c r="D166" s="164">
        <v>925.35199999999998</v>
      </c>
      <c r="E166" s="164">
        <v>925.35199999999998</v>
      </c>
      <c r="F166" s="164">
        <v>925.35199999999998</v>
      </c>
    </row>
    <row r="167" spans="2:6" ht="15.75" thickBot="1" x14ac:dyDescent="0.3">
      <c r="B167" s="65" t="s">
        <v>38</v>
      </c>
      <c r="C167" s="165">
        <v>0</v>
      </c>
      <c r="D167" s="164">
        <v>0</v>
      </c>
      <c r="E167" s="164">
        <v>0</v>
      </c>
      <c r="F167" s="164">
        <v>0</v>
      </c>
    </row>
    <row r="168" spans="2:6" ht="15.75" thickBot="1" x14ac:dyDescent="0.3">
      <c r="B168" s="66" t="s">
        <v>1273</v>
      </c>
      <c r="C168" s="219">
        <v>6223450</v>
      </c>
      <c r="D168" s="219">
        <v>6411011</v>
      </c>
      <c r="E168" s="219">
        <v>6411011</v>
      </c>
      <c r="F168" s="219">
        <v>6411011</v>
      </c>
    </row>
    <row r="169" spans="2:6" ht="15.75" thickBot="1" x14ac:dyDescent="0.3">
      <c r="B169" s="166" t="s">
        <v>41</v>
      </c>
      <c r="C169" s="167">
        <v>0</v>
      </c>
      <c r="D169" s="167">
        <v>0</v>
      </c>
      <c r="E169" s="167">
        <v>0</v>
      </c>
      <c r="F169" s="167">
        <v>0</v>
      </c>
    </row>
    <row r="170" spans="2:6" ht="15.75" thickBot="1" x14ac:dyDescent="0.3">
      <c r="B170" s="195" t="s">
        <v>1036</v>
      </c>
      <c r="C170" s="992" t="s">
        <v>1286</v>
      </c>
      <c r="D170" s="993"/>
      <c r="E170" s="993"/>
      <c r="F170" s="994"/>
    </row>
    <row r="171" spans="2:6" ht="39" customHeight="1" thickBot="1" x14ac:dyDescent="0.3">
      <c r="B171" s="62" t="s">
        <v>17</v>
      </c>
      <c r="C171" s="983" t="s">
        <v>1285</v>
      </c>
      <c r="D171" s="984"/>
      <c r="E171" s="984"/>
      <c r="F171" s="985"/>
    </row>
    <row r="172" spans="2:6" ht="15.75" thickBot="1" x14ac:dyDescent="0.3">
      <c r="B172" s="62" t="s">
        <v>18</v>
      </c>
      <c r="C172" s="995" t="s">
        <v>1279</v>
      </c>
      <c r="D172" s="996"/>
      <c r="E172" s="996"/>
      <c r="F172" s="997"/>
    </row>
    <row r="173" spans="2:6" x14ac:dyDescent="0.25">
      <c r="B173" s="998"/>
      <c r="C173" s="63">
        <v>2018</v>
      </c>
      <c r="D173" s="63">
        <v>2019</v>
      </c>
      <c r="E173" s="63">
        <v>2020</v>
      </c>
      <c r="F173" s="63">
        <v>2021</v>
      </c>
    </row>
    <row r="174" spans="2:6" ht="15.75" thickBot="1" x14ac:dyDescent="0.3">
      <c r="B174" s="999"/>
      <c r="C174" s="64" t="s">
        <v>10</v>
      </c>
      <c r="D174" s="64" t="s">
        <v>11</v>
      </c>
      <c r="E174" s="64" t="s">
        <v>11</v>
      </c>
      <c r="F174" s="64" t="s">
        <v>11</v>
      </c>
    </row>
    <row r="175" spans="2:6" ht="15.75" thickBot="1" x14ac:dyDescent="0.3">
      <c r="B175" s="62" t="s">
        <v>19</v>
      </c>
      <c r="C175" s="161">
        <v>100</v>
      </c>
      <c r="D175" s="161">
        <v>100</v>
      </c>
      <c r="E175" s="161">
        <v>50</v>
      </c>
      <c r="F175" s="161">
        <v>50</v>
      </c>
    </row>
    <row r="176" spans="2:6" ht="15.75" thickBot="1" x14ac:dyDescent="0.3">
      <c r="B176" s="62" t="s">
        <v>20</v>
      </c>
      <c r="C176" s="161">
        <v>4148.9669999999996</v>
      </c>
      <c r="D176" s="161">
        <v>4274.0079999999998</v>
      </c>
      <c r="E176" s="161">
        <v>4274.0079999999998</v>
      </c>
      <c r="F176" s="161">
        <v>4274.0079999999998</v>
      </c>
    </row>
    <row r="177" spans="2:6" ht="15.75" thickBot="1" x14ac:dyDescent="0.3">
      <c r="B177" s="62" t="s">
        <v>21</v>
      </c>
      <c r="C177" s="161">
        <v>41.489669999999997</v>
      </c>
      <c r="D177" s="161">
        <v>42.740079999999999</v>
      </c>
      <c r="E177" s="161">
        <v>85.480159999999998</v>
      </c>
      <c r="F177" s="161">
        <v>85.480159999999998</v>
      </c>
    </row>
    <row r="178" spans="2:6" ht="15.75" thickBot="1" x14ac:dyDescent="0.3">
      <c r="B178" s="62" t="s">
        <v>22</v>
      </c>
      <c r="C178" s="636"/>
      <c r="D178" s="162">
        <v>0</v>
      </c>
      <c r="E178" s="162">
        <v>-0.5</v>
      </c>
      <c r="F178" s="162">
        <v>0</v>
      </c>
    </row>
    <row r="179" spans="2:6" ht="15.75" thickBot="1" x14ac:dyDescent="0.3">
      <c r="B179" s="62" t="s">
        <v>24</v>
      </c>
      <c r="C179" s="636"/>
      <c r="D179" s="162">
        <v>3.0137863231980422E-2</v>
      </c>
      <c r="E179" s="162">
        <v>0</v>
      </c>
      <c r="F179" s="162">
        <v>0</v>
      </c>
    </row>
    <row r="180" spans="2:6" ht="15.75" thickBot="1" x14ac:dyDescent="0.3">
      <c r="B180" s="62" t="s">
        <v>25</v>
      </c>
      <c r="C180" s="636"/>
      <c r="D180" s="162">
        <v>3.0137863231980422E-2</v>
      </c>
      <c r="E180" s="162">
        <v>1</v>
      </c>
      <c r="F180" s="162">
        <v>0</v>
      </c>
    </row>
    <row r="181" spans="2:6" ht="15.75" customHeight="1" thickBot="1" x14ac:dyDescent="0.3">
      <c r="B181" s="1000" t="s">
        <v>982</v>
      </c>
      <c r="C181" s="1001"/>
      <c r="D181" s="1001"/>
      <c r="E181" s="1001"/>
      <c r="F181" s="1002"/>
    </row>
    <row r="182" spans="2:6" x14ac:dyDescent="0.25">
      <c r="B182" s="998"/>
      <c r="C182" s="63">
        <v>2018</v>
      </c>
      <c r="D182" s="63">
        <v>2019</v>
      </c>
      <c r="E182" s="63">
        <v>2020</v>
      </c>
      <c r="F182" s="63">
        <v>2021</v>
      </c>
    </row>
    <row r="183" spans="2:6" ht="15.75" thickBot="1" x14ac:dyDescent="0.3">
      <c r="B183" s="999"/>
      <c r="C183" s="64" t="s">
        <v>10</v>
      </c>
      <c r="D183" s="64" t="s">
        <v>11</v>
      </c>
      <c r="E183" s="64" t="s">
        <v>11</v>
      </c>
      <c r="F183" s="64" t="s">
        <v>11</v>
      </c>
    </row>
    <row r="184" spans="2:6" ht="15.75" thickBot="1" x14ac:dyDescent="0.3">
      <c r="B184" s="65" t="s">
        <v>26</v>
      </c>
      <c r="C184" s="164">
        <v>1833.3330000000001</v>
      </c>
      <c r="D184" s="164">
        <v>2210.0970000000002</v>
      </c>
      <c r="E184" s="164">
        <v>2210.0970000000002</v>
      </c>
      <c r="F184" s="164">
        <v>2210.0970000000002</v>
      </c>
    </row>
    <row r="185" spans="2:6" ht="15.75" thickBot="1" x14ac:dyDescent="0.3">
      <c r="B185" s="65" t="s">
        <v>28</v>
      </c>
      <c r="C185" s="164">
        <v>298.36700000000002</v>
      </c>
      <c r="D185" s="164">
        <v>359.17899999999997</v>
      </c>
      <c r="E185" s="164">
        <v>359.17899999999997</v>
      </c>
      <c r="F185" s="164">
        <v>359.17899999999997</v>
      </c>
    </row>
    <row r="186" spans="2:6" ht="15.75" thickBot="1" x14ac:dyDescent="0.3">
      <c r="B186" s="65" t="s">
        <v>30</v>
      </c>
      <c r="C186" s="165">
        <v>1287.2670000000001</v>
      </c>
      <c r="D186" s="164">
        <v>1087.8309999999999</v>
      </c>
      <c r="E186" s="164">
        <v>1087.8309999999999</v>
      </c>
      <c r="F186" s="164">
        <v>1087.8309999999999</v>
      </c>
    </row>
    <row r="187" spans="2:6" ht="15.75" thickBot="1" x14ac:dyDescent="0.3">
      <c r="B187" s="65" t="s">
        <v>32</v>
      </c>
      <c r="C187" s="165">
        <v>0</v>
      </c>
      <c r="D187" s="164">
        <v>0</v>
      </c>
      <c r="E187" s="164">
        <v>0</v>
      </c>
      <c r="F187" s="164">
        <v>0</v>
      </c>
    </row>
    <row r="188" spans="2:6" ht="15.75" thickBot="1" x14ac:dyDescent="0.3">
      <c r="B188" s="65" t="s">
        <v>34</v>
      </c>
      <c r="C188" s="165">
        <v>0</v>
      </c>
      <c r="D188" s="164">
        <v>0</v>
      </c>
      <c r="E188" s="164">
        <v>0</v>
      </c>
      <c r="F188" s="164">
        <v>0</v>
      </c>
    </row>
    <row r="189" spans="2:6" ht="15.75" thickBot="1" x14ac:dyDescent="0.3">
      <c r="B189" s="65" t="s">
        <v>36</v>
      </c>
      <c r="C189" s="165">
        <v>730</v>
      </c>
      <c r="D189" s="164">
        <v>616.90099999999995</v>
      </c>
      <c r="E189" s="164">
        <v>616.90099999999995</v>
      </c>
      <c r="F189" s="164">
        <v>616.90099999999995</v>
      </c>
    </row>
    <row r="190" spans="2:6" ht="15.75" thickBot="1" x14ac:dyDescent="0.3">
      <c r="B190" s="65" t="s">
        <v>38</v>
      </c>
      <c r="C190" s="165">
        <v>0</v>
      </c>
      <c r="D190" s="164">
        <v>0</v>
      </c>
      <c r="E190" s="164">
        <v>0</v>
      </c>
      <c r="F190" s="164">
        <v>0</v>
      </c>
    </row>
    <row r="191" spans="2:6" ht="15.75" thickBot="1" x14ac:dyDescent="0.3">
      <c r="B191" s="66" t="s">
        <v>1273</v>
      </c>
      <c r="C191" s="219">
        <v>4148.9669999999996</v>
      </c>
      <c r="D191" s="219">
        <v>4274.0079999999998</v>
      </c>
      <c r="E191" s="219">
        <v>4274.0079999999998</v>
      </c>
      <c r="F191" s="219">
        <v>4274.0079999999998</v>
      </c>
    </row>
    <row r="192" spans="2:6" ht="15.75" thickBot="1" x14ac:dyDescent="0.3">
      <c r="B192" s="166" t="s">
        <v>41</v>
      </c>
      <c r="C192" s="167">
        <v>0</v>
      </c>
      <c r="D192" s="167">
        <v>0</v>
      </c>
      <c r="E192" s="167">
        <v>0</v>
      </c>
      <c r="F192" s="167">
        <v>0</v>
      </c>
    </row>
    <row r="193" spans="2:6" ht="15.75" thickBot="1" x14ac:dyDescent="0.3">
      <c r="B193" s="1027" t="s">
        <v>346</v>
      </c>
      <c r="C193" s="1028"/>
      <c r="D193" s="1028"/>
      <c r="E193" s="1028"/>
      <c r="F193" s="1029"/>
    </row>
    <row r="194" spans="2:6" ht="15.75" thickBot="1" x14ac:dyDescent="0.3">
      <c r="B194" s="1030" t="s">
        <v>70</v>
      </c>
      <c r="C194" s="1031"/>
      <c r="D194" s="1031"/>
      <c r="E194" s="1031"/>
      <c r="F194" s="1032"/>
    </row>
    <row r="195" spans="2:6" x14ac:dyDescent="0.25">
      <c r="B195" s="998"/>
      <c r="C195" s="63">
        <v>2018</v>
      </c>
      <c r="D195" s="63">
        <v>2019</v>
      </c>
      <c r="E195" s="63">
        <v>2020</v>
      </c>
      <c r="F195" s="63">
        <v>2021</v>
      </c>
    </row>
    <row r="196" spans="2:6" ht="15.75" thickBot="1" x14ac:dyDescent="0.3">
      <c r="B196" s="999"/>
      <c r="C196" s="64" t="s">
        <v>10</v>
      </c>
      <c r="D196" s="64" t="s">
        <v>11</v>
      </c>
      <c r="E196" s="64" t="s">
        <v>11</v>
      </c>
      <c r="F196" s="64" t="s">
        <v>11</v>
      </c>
    </row>
    <row r="197" spans="2:6" ht="15.75" thickBot="1" x14ac:dyDescent="0.3">
      <c r="B197" s="160" t="s">
        <v>16</v>
      </c>
      <c r="C197" s="992" t="s">
        <v>1287</v>
      </c>
      <c r="D197" s="993"/>
      <c r="E197" s="993"/>
      <c r="F197" s="994"/>
    </row>
    <row r="198" spans="2:6" ht="43.5" customHeight="1" thickBot="1" x14ac:dyDescent="0.3">
      <c r="B198" s="62" t="s">
        <v>17</v>
      </c>
      <c r="C198" s="983" t="s">
        <v>1288</v>
      </c>
      <c r="D198" s="984"/>
      <c r="E198" s="984"/>
      <c r="F198" s="985"/>
    </row>
    <row r="199" spans="2:6" ht="15.75" thickBot="1" x14ac:dyDescent="0.3">
      <c r="B199" s="62" t="s">
        <v>18</v>
      </c>
      <c r="C199" s="995" t="s">
        <v>1279</v>
      </c>
      <c r="D199" s="996"/>
      <c r="E199" s="996"/>
      <c r="F199" s="997"/>
    </row>
    <row r="200" spans="2:6" x14ac:dyDescent="0.25">
      <c r="B200" s="998"/>
      <c r="C200" s="63">
        <v>2018</v>
      </c>
      <c r="D200" s="63">
        <v>2019</v>
      </c>
      <c r="E200" s="63">
        <v>2020</v>
      </c>
      <c r="F200" s="63">
        <v>2021</v>
      </c>
    </row>
    <row r="201" spans="2:6" ht="15.75" thickBot="1" x14ac:dyDescent="0.3">
      <c r="B201" s="999"/>
      <c r="C201" s="64" t="s">
        <v>10</v>
      </c>
      <c r="D201" s="64" t="s">
        <v>11</v>
      </c>
      <c r="E201" s="64" t="s">
        <v>11</v>
      </c>
      <c r="F201" s="64" t="s">
        <v>11</v>
      </c>
    </row>
    <row r="202" spans="2:6" ht="15.75" thickBot="1" x14ac:dyDescent="0.3">
      <c r="B202" s="62" t="s">
        <v>19</v>
      </c>
      <c r="C202" s="161">
        <v>25</v>
      </c>
      <c r="D202" s="203">
        <v>20</v>
      </c>
      <c r="E202" s="203">
        <v>20</v>
      </c>
      <c r="F202" s="203">
        <v>20</v>
      </c>
    </row>
    <row r="203" spans="2:6" ht="15.75" thickBot="1" x14ac:dyDescent="0.3">
      <c r="B203" s="62" t="s">
        <v>20</v>
      </c>
      <c r="C203" s="161">
        <v>16595.866999999998</v>
      </c>
      <c r="D203" s="161">
        <v>32055.057000000001</v>
      </c>
      <c r="E203" s="161">
        <v>32055.057000000001</v>
      </c>
      <c r="F203" s="161">
        <v>32055.057000000001</v>
      </c>
    </row>
    <row r="204" spans="2:6" ht="15.75" thickBot="1" x14ac:dyDescent="0.3">
      <c r="B204" s="62" t="s">
        <v>21</v>
      </c>
      <c r="C204" s="161">
        <v>663.83468000000005</v>
      </c>
      <c r="D204" s="161">
        <v>1602.7528500000001</v>
      </c>
      <c r="E204" s="161">
        <v>1602.7528500000001</v>
      </c>
      <c r="F204" s="161">
        <v>1602.7528500000001</v>
      </c>
    </row>
    <row r="205" spans="2:6" ht="15.75" thickBot="1" x14ac:dyDescent="0.3">
      <c r="B205" s="62" t="s">
        <v>22</v>
      </c>
      <c r="C205" s="636"/>
      <c r="D205" s="162">
        <v>-0.19999999999999996</v>
      </c>
      <c r="E205" s="162">
        <v>0</v>
      </c>
      <c r="F205" s="162">
        <v>0</v>
      </c>
    </row>
    <row r="206" spans="2:6" ht="15.75" thickBot="1" x14ac:dyDescent="0.3">
      <c r="B206" s="62" t="s">
        <v>24</v>
      </c>
      <c r="C206" s="636"/>
      <c r="D206" s="162">
        <v>0.93150842917697529</v>
      </c>
      <c r="E206" s="162">
        <v>0</v>
      </c>
      <c r="F206" s="162">
        <v>0</v>
      </c>
    </row>
    <row r="207" spans="2:6" ht="15.75" thickBot="1" x14ac:dyDescent="0.3">
      <c r="B207" s="62" t="s">
        <v>25</v>
      </c>
      <c r="C207" s="636"/>
      <c r="D207" s="162">
        <v>1.4143855364712188</v>
      </c>
      <c r="E207" s="162">
        <v>0</v>
      </c>
      <c r="F207" s="162">
        <v>0</v>
      </c>
    </row>
    <row r="208" spans="2:6" x14ac:dyDescent="0.25">
      <c r="B208" s="998"/>
      <c r="C208" s="63">
        <v>2018</v>
      </c>
      <c r="D208" s="63">
        <v>2019</v>
      </c>
      <c r="E208" s="63">
        <v>2020</v>
      </c>
      <c r="F208" s="63">
        <v>2021</v>
      </c>
    </row>
    <row r="209" spans="2:6" ht="15.75" thickBot="1" x14ac:dyDescent="0.3">
      <c r="B209" s="999"/>
      <c r="C209" s="64" t="s">
        <v>10</v>
      </c>
      <c r="D209" s="64" t="s">
        <v>11</v>
      </c>
      <c r="E209" s="64" t="s">
        <v>11</v>
      </c>
      <c r="F209" s="64" t="s">
        <v>11</v>
      </c>
    </row>
    <row r="210" spans="2:6" ht="15.75" customHeight="1" thickBot="1" x14ac:dyDescent="0.3">
      <c r="B210" s="1000" t="s">
        <v>118</v>
      </c>
      <c r="C210" s="1001"/>
      <c r="D210" s="1001"/>
      <c r="E210" s="1001"/>
      <c r="F210" s="1002"/>
    </row>
    <row r="211" spans="2:6" x14ac:dyDescent="0.25">
      <c r="B211" s="998"/>
      <c r="C211" s="63">
        <v>2018</v>
      </c>
      <c r="D211" s="63">
        <v>2019</v>
      </c>
      <c r="E211" s="63">
        <v>2020</v>
      </c>
      <c r="F211" s="63">
        <v>2021</v>
      </c>
    </row>
    <row r="212" spans="2:6" ht="15.75" thickBot="1" x14ac:dyDescent="0.3">
      <c r="B212" s="999"/>
      <c r="C212" s="64" t="s">
        <v>10</v>
      </c>
      <c r="D212" s="64" t="s">
        <v>11</v>
      </c>
      <c r="E212" s="64" t="s">
        <v>11</v>
      </c>
      <c r="F212" s="64" t="s">
        <v>11</v>
      </c>
    </row>
    <row r="213" spans="2:6" ht="15.75" thickBot="1" x14ac:dyDescent="0.3">
      <c r="B213" s="65" t="s">
        <v>26</v>
      </c>
      <c r="C213" s="164">
        <v>7333.3329999999996</v>
      </c>
      <c r="D213" s="164">
        <v>16575.718000000001</v>
      </c>
      <c r="E213" s="164">
        <v>16575.718000000001</v>
      </c>
      <c r="F213" s="164">
        <v>16575.718000000001</v>
      </c>
    </row>
    <row r="214" spans="2:6" ht="15.75" thickBot="1" x14ac:dyDescent="0.3">
      <c r="B214" s="65" t="s">
        <v>28</v>
      </c>
      <c r="C214" s="164">
        <v>1193.4670000000001</v>
      </c>
      <c r="D214" s="164">
        <v>2693.846</v>
      </c>
      <c r="E214" s="164">
        <v>2693.846</v>
      </c>
      <c r="F214" s="164">
        <v>2693.846</v>
      </c>
    </row>
    <row r="215" spans="2:6" ht="15.75" thickBot="1" x14ac:dyDescent="0.3">
      <c r="B215" s="65" t="s">
        <v>30</v>
      </c>
      <c r="C215" s="165">
        <v>5149.067</v>
      </c>
      <c r="D215" s="164">
        <v>8158.732</v>
      </c>
      <c r="E215" s="164">
        <v>8158.732</v>
      </c>
      <c r="F215" s="164">
        <v>8158.732</v>
      </c>
    </row>
    <row r="216" spans="2:6" ht="15.75" thickBot="1" x14ac:dyDescent="0.3">
      <c r="B216" s="65" t="s">
        <v>32</v>
      </c>
      <c r="C216" s="165">
        <v>0</v>
      </c>
      <c r="D216" s="164">
        <v>0</v>
      </c>
      <c r="E216" s="164">
        <v>0</v>
      </c>
      <c r="F216" s="164">
        <v>0</v>
      </c>
    </row>
    <row r="217" spans="2:6" ht="15.75" thickBot="1" x14ac:dyDescent="0.3">
      <c r="B217" s="65" t="s">
        <v>34</v>
      </c>
      <c r="C217" s="165">
        <v>0</v>
      </c>
      <c r="D217" s="164">
        <v>0</v>
      </c>
      <c r="E217" s="164">
        <v>0</v>
      </c>
      <c r="F217" s="164">
        <v>0</v>
      </c>
    </row>
    <row r="218" spans="2:6" ht="15.75" thickBot="1" x14ac:dyDescent="0.3">
      <c r="B218" s="65" t="s">
        <v>36</v>
      </c>
      <c r="C218" s="165">
        <v>2920</v>
      </c>
      <c r="D218" s="164">
        <v>4626.7610000000004</v>
      </c>
      <c r="E218" s="164">
        <v>4626.7610000000004</v>
      </c>
      <c r="F218" s="164">
        <v>4626.7610000000004</v>
      </c>
    </row>
    <row r="219" spans="2:6" ht="15.75" thickBot="1" x14ac:dyDescent="0.3">
      <c r="B219" s="65" t="s">
        <v>38</v>
      </c>
      <c r="C219" s="165">
        <v>0</v>
      </c>
      <c r="D219" s="164">
        <v>0</v>
      </c>
      <c r="E219" s="164">
        <v>0</v>
      </c>
      <c r="F219" s="164">
        <v>0</v>
      </c>
    </row>
    <row r="220" spans="2:6" ht="15.75" thickBot="1" x14ac:dyDescent="0.3">
      <c r="B220" s="66" t="s">
        <v>1273</v>
      </c>
      <c r="C220" s="205">
        <v>16595.866999999998</v>
      </c>
      <c r="D220" s="205">
        <v>32055.057000000001</v>
      </c>
      <c r="E220" s="205">
        <v>32055.057000000001</v>
      </c>
      <c r="F220" s="205">
        <v>32055.057000000001</v>
      </c>
    </row>
    <row r="221" spans="2:6" ht="15.75" thickBot="1" x14ac:dyDescent="0.3">
      <c r="B221" s="166" t="s">
        <v>41</v>
      </c>
      <c r="C221" s="167">
        <v>0</v>
      </c>
      <c r="D221" s="167">
        <v>0</v>
      </c>
      <c r="E221" s="167">
        <v>0</v>
      </c>
      <c r="F221" s="167">
        <v>0</v>
      </c>
    </row>
    <row r="222" spans="2:6" ht="15.75" thickBot="1" x14ac:dyDescent="0.3">
      <c r="B222" s="1027" t="s">
        <v>616</v>
      </c>
      <c r="C222" s="1028"/>
      <c r="D222" s="1028"/>
      <c r="E222" s="1028"/>
      <c r="F222" s="1029"/>
    </row>
    <row r="223" spans="2:6" ht="15.75" thickBot="1" x14ac:dyDescent="0.3">
      <c r="B223" s="1030" t="s">
        <v>70</v>
      </c>
      <c r="C223" s="1031"/>
      <c r="D223" s="1031"/>
      <c r="E223" s="1031"/>
      <c r="F223" s="1032"/>
    </row>
    <row r="224" spans="2:6" x14ac:dyDescent="0.25">
      <c r="B224" s="998"/>
      <c r="C224" s="63">
        <v>2018</v>
      </c>
      <c r="D224" s="63">
        <v>2019</v>
      </c>
      <c r="E224" s="63">
        <v>2020</v>
      </c>
      <c r="F224" s="63">
        <v>2021</v>
      </c>
    </row>
    <row r="225" spans="2:6" ht="15.75" thickBot="1" x14ac:dyDescent="0.3">
      <c r="B225" s="999"/>
      <c r="C225" s="64" t="s">
        <v>10</v>
      </c>
      <c r="D225" s="64" t="s">
        <v>11</v>
      </c>
      <c r="E225" s="64" t="s">
        <v>11</v>
      </c>
      <c r="F225" s="64" t="s">
        <v>11</v>
      </c>
    </row>
    <row r="226" spans="2:6" ht="46.5" customHeight="1" thickBot="1" x14ac:dyDescent="0.3">
      <c r="B226" s="160" t="s">
        <v>16</v>
      </c>
      <c r="C226" s="1007" t="s">
        <v>1289</v>
      </c>
      <c r="D226" s="1006"/>
      <c r="E226" s="1006"/>
      <c r="F226" s="1008"/>
    </row>
    <row r="227" spans="2:6" ht="45.75" customHeight="1" thickBot="1" x14ac:dyDescent="0.3">
      <c r="B227" s="62" t="s">
        <v>17</v>
      </c>
      <c r="C227" s="983" t="s">
        <v>1290</v>
      </c>
      <c r="D227" s="984"/>
      <c r="E227" s="984"/>
      <c r="F227" s="985"/>
    </row>
    <row r="228" spans="2:6" ht="15.75" thickBot="1" x14ac:dyDescent="0.3">
      <c r="B228" s="62" t="s">
        <v>18</v>
      </c>
      <c r="C228" s="995" t="s">
        <v>1279</v>
      </c>
      <c r="D228" s="996"/>
      <c r="E228" s="996"/>
      <c r="F228" s="997"/>
    </row>
    <row r="229" spans="2:6" x14ac:dyDescent="0.25">
      <c r="B229" s="998"/>
      <c r="C229" s="63">
        <v>2018</v>
      </c>
      <c r="D229" s="63">
        <v>2019</v>
      </c>
      <c r="E229" s="63">
        <v>2020</v>
      </c>
      <c r="F229" s="63">
        <v>2021</v>
      </c>
    </row>
    <row r="230" spans="2:6" ht="15.75" thickBot="1" x14ac:dyDescent="0.3">
      <c r="B230" s="999"/>
      <c r="C230" s="64" t="s">
        <v>10</v>
      </c>
      <c r="D230" s="64" t="s">
        <v>11</v>
      </c>
      <c r="E230" s="64" t="s">
        <v>11</v>
      </c>
      <c r="F230" s="64" t="s">
        <v>11</v>
      </c>
    </row>
    <row r="231" spans="2:6" ht="15.75" thickBot="1" x14ac:dyDescent="0.3">
      <c r="B231" s="62" t="s">
        <v>19</v>
      </c>
      <c r="C231" s="161">
        <v>2270</v>
      </c>
      <c r="D231" s="203">
        <v>2500</v>
      </c>
      <c r="E231" s="203">
        <v>2500</v>
      </c>
      <c r="F231" s="203">
        <v>2500</v>
      </c>
    </row>
    <row r="232" spans="2:6" ht="15.75" thickBot="1" x14ac:dyDescent="0.3">
      <c r="B232" s="62" t="s">
        <v>20</v>
      </c>
      <c r="C232" s="161">
        <v>12446.9</v>
      </c>
      <c r="D232" s="161">
        <v>14959.027</v>
      </c>
      <c r="E232" s="161">
        <v>14959.027</v>
      </c>
      <c r="F232" s="161">
        <v>14959.027</v>
      </c>
    </row>
    <row r="233" spans="2:6" ht="15.75" thickBot="1" x14ac:dyDescent="0.3">
      <c r="B233" s="62" t="s">
        <v>21</v>
      </c>
      <c r="C233" s="161">
        <v>5.4832158590308371</v>
      </c>
      <c r="D233" s="161">
        <v>5.9836108000000001</v>
      </c>
      <c r="E233" s="161">
        <v>5.9836108000000001</v>
      </c>
      <c r="F233" s="161">
        <v>5.9836108000000001</v>
      </c>
    </row>
    <row r="234" spans="2:6" ht="15.75" thickBot="1" x14ac:dyDescent="0.3">
      <c r="B234" s="62" t="s">
        <v>22</v>
      </c>
      <c r="C234" s="636"/>
      <c r="D234" s="162">
        <v>0.1013215859030836</v>
      </c>
      <c r="E234" s="162">
        <v>0</v>
      </c>
      <c r="F234" s="162">
        <v>0</v>
      </c>
    </row>
    <row r="235" spans="2:6" ht="15.75" thickBot="1" x14ac:dyDescent="0.3">
      <c r="B235" s="62" t="s">
        <v>24</v>
      </c>
      <c r="C235" s="636"/>
      <c r="D235" s="162">
        <v>0.2018275233190594</v>
      </c>
      <c r="E235" s="162">
        <v>0</v>
      </c>
      <c r="F235" s="162">
        <v>0</v>
      </c>
    </row>
    <row r="236" spans="2:6" ht="15.75" thickBot="1" x14ac:dyDescent="0.3">
      <c r="B236" s="62" t="s">
        <v>25</v>
      </c>
      <c r="C236" s="636"/>
      <c r="D236" s="162">
        <v>9.1259391173705851E-2</v>
      </c>
      <c r="E236" s="162">
        <v>0</v>
      </c>
      <c r="F236" s="162">
        <v>0</v>
      </c>
    </row>
    <row r="237" spans="2:6" x14ac:dyDescent="0.25">
      <c r="B237" s="998"/>
      <c r="C237" s="63">
        <v>2018</v>
      </c>
      <c r="D237" s="63">
        <v>2019</v>
      </c>
      <c r="E237" s="63">
        <v>2020</v>
      </c>
      <c r="F237" s="63">
        <v>2021</v>
      </c>
    </row>
    <row r="238" spans="2:6" ht="15.75" thickBot="1" x14ac:dyDescent="0.3">
      <c r="B238" s="999"/>
      <c r="C238" s="64" t="s">
        <v>10</v>
      </c>
      <c r="D238" s="64" t="s">
        <v>11</v>
      </c>
      <c r="E238" s="64" t="s">
        <v>11</v>
      </c>
      <c r="F238" s="64" t="s">
        <v>11</v>
      </c>
    </row>
    <row r="239" spans="2:6" ht="15.75" customHeight="1" thickBot="1" x14ac:dyDescent="0.3">
      <c r="B239" s="1000" t="s">
        <v>118</v>
      </c>
      <c r="C239" s="1001"/>
      <c r="D239" s="1001"/>
      <c r="E239" s="1001"/>
      <c r="F239" s="1002"/>
    </row>
    <row r="240" spans="2:6" x14ac:dyDescent="0.25">
      <c r="B240" s="998"/>
      <c r="C240" s="63">
        <v>2018</v>
      </c>
      <c r="D240" s="63">
        <v>2019</v>
      </c>
      <c r="E240" s="63">
        <v>2020</v>
      </c>
      <c r="F240" s="63">
        <v>2021</v>
      </c>
    </row>
    <row r="241" spans="2:7" ht="15.75" thickBot="1" x14ac:dyDescent="0.3">
      <c r="B241" s="999"/>
      <c r="C241" s="64" t="s">
        <v>10</v>
      </c>
      <c r="D241" s="64" t="s">
        <v>11</v>
      </c>
      <c r="E241" s="64" t="s">
        <v>11</v>
      </c>
      <c r="F241" s="64" t="s">
        <v>11</v>
      </c>
    </row>
    <row r="242" spans="2:7" ht="15.75" thickBot="1" x14ac:dyDescent="0.3">
      <c r="B242" s="65" t="s">
        <v>26</v>
      </c>
      <c r="C242" s="164">
        <f>5500000/1000</f>
        <v>5500</v>
      </c>
      <c r="D242" s="164">
        <f>7735335/1000</f>
        <v>7735.335</v>
      </c>
      <c r="E242" s="164">
        <f>7735335/1000</f>
        <v>7735.335</v>
      </c>
      <c r="F242" s="164">
        <f>7735335/1000</f>
        <v>7735.335</v>
      </c>
    </row>
    <row r="243" spans="2:7" ht="15.75" thickBot="1" x14ac:dyDescent="0.3">
      <c r="B243" s="65" t="s">
        <v>28</v>
      </c>
      <c r="C243" s="164">
        <f>895100/1000</f>
        <v>895.1</v>
      </c>
      <c r="D243" s="164">
        <f>1257128/1000</f>
        <v>1257.1279999999999</v>
      </c>
      <c r="E243" s="164">
        <f>1257128/1000</f>
        <v>1257.1279999999999</v>
      </c>
      <c r="F243" s="164">
        <f>1257128/1000</f>
        <v>1257.1279999999999</v>
      </c>
    </row>
    <row r="244" spans="2:7" ht="15.75" thickBot="1" x14ac:dyDescent="0.3">
      <c r="B244" s="65" t="s">
        <v>30</v>
      </c>
      <c r="C244" s="165">
        <f>3861800/1000</f>
        <v>3861.8</v>
      </c>
      <c r="D244" s="164">
        <f>3807409/1000</f>
        <v>3807.4090000000001</v>
      </c>
      <c r="E244" s="164">
        <f>3807409/1000</f>
        <v>3807.4090000000001</v>
      </c>
      <c r="F244" s="164">
        <f>3807409/1000</f>
        <v>3807.4090000000001</v>
      </c>
      <c r="G244" s="163"/>
    </row>
    <row r="245" spans="2:7" ht="15.75" thickBot="1" x14ac:dyDescent="0.3">
      <c r="B245" s="65" t="s">
        <v>32</v>
      </c>
      <c r="C245" s="165">
        <v>0</v>
      </c>
      <c r="D245" s="164">
        <v>0</v>
      </c>
      <c r="E245" s="164">
        <v>0</v>
      </c>
      <c r="F245" s="164">
        <v>0</v>
      </c>
    </row>
    <row r="246" spans="2:7" ht="15.75" thickBot="1" x14ac:dyDescent="0.3">
      <c r="B246" s="65" t="s">
        <v>34</v>
      </c>
      <c r="C246" s="165">
        <v>0</v>
      </c>
      <c r="D246" s="164">
        <v>0</v>
      </c>
      <c r="E246" s="164">
        <v>0</v>
      </c>
      <c r="F246" s="164">
        <v>0</v>
      </c>
    </row>
    <row r="247" spans="2:7" ht="15.75" thickBot="1" x14ac:dyDescent="0.3">
      <c r="B247" s="65" t="s">
        <v>36</v>
      </c>
      <c r="C247" s="165">
        <f>2190000/1000</f>
        <v>2190</v>
      </c>
      <c r="D247" s="164">
        <f>2159155/1000</f>
        <v>2159.1550000000002</v>
      </c>
      <c r="E247" s="164">
        <f>2159155/1000</f>
        <v>2159.1550000000002</v>
      </c>
      <c r="F247" s="164">
        <f>2159155/1000</f>
        <v>2159.1550000000002</v>
      </c>
    </row>
    <row r="248" spans="2:7" ht="15.75" thickBot="1" x14ac:dyDescent="0.3">
      <c r="B248" s="65" t="s">
        <v>38</v>
      </c>
      <c r="C248" s="165">
        <v>0</v>
      </c>
      <c r="D248" s="164">
        <v>0</v>
      </c>
      <c r="E248" s="164">
        <v>0</v>
      </c>
      <c r="F248" s="164">
        <v>0</v>
      </c>
    </row>
    <row r="249" spans="2:7" ht="15.75" thickBot="1" x14ac:dyDescent="0.3">
      <c r="B249" s="66" t="s">
        <v>1273</v>
      </c>
      <c r="C249" s="205">
        <f>C242+C243+C244+C245+C246+C247+C248</f>
        <v>12446.900000000001</v>
      </c>
      <c r="D249" s="205">
        <f t="shared" ref="D249:F249" si="0">D242+D243+D244+D245+D246+D247+D248</f>
        <v>14959.027</v>
      </c>
      <c r="E249" s="205">
        <f t="shared" si="0"/>
        <v>14959.027</v>
      </c>
      <c r="F249" s="205">
        <f t="shared" si="0"/>
        <v>14959.027</v>
      </c>
    </row>
    <row r="250" spans="2:7" ht="15.75" thickBot="1" x14ac:dyDescent="0.3">
      <c r="B250" s="166" t="s">
        <v>41</v>
      </c>
      <c r="C250" s="167">
        <v>0</v>
      </c>
      <c r="D250" s="167">
        <v>0</v>
      </c>
      <c r="E250" s="167">
        <v>0</v>
      </c>
      <c r="F250" s="167">
        <v>0</v>
      </c>
    </row>
    <row r="251" spans="2:7" ht="15.75" thickBot="1" x14ac:dyDescent="0.3">
      <c r="B251" s="195" t="s">
        <v>125</v>
      </c>
      <c r="C251" s="992" t="s">
        <v>1291</v>
      </c>
      <c r="D251" s="993"/>
      <c r="E251" s="993"/>
      <c r="F251" s="994"/>
    </row>
    <row r="252" spans="2:7" ht="15.75" customHeight="1" thickBot="1" x14ac:dyDescent="0.3">
      <c r="B252" s="62" t="s">
        <v>17</v>
      </c>
      <c r="C252" s="983" t="s">
        <v>1292</v>
      </c>
      <c r="D252" s="984"/>
      <c r="E252" s="984"/>
      <c r="F252" s="985"/>
    </row>
    <row r="253" spans="2:7" ht="15.75" thickBot="1" x14ac:dyDescent="0.3">
      <c r="B253" s="62" t="s">
        <v>18</v>
      </c>
      <c r="C253" s="995" t="s">
        <v>1279</v>
      </c>
      <c r="D253" s="996"/>
      <c r="E253" s="996"/>
      <c r="F253" s="997"/>
    </row>
    <row r="254" spans="2:7" x14ac:dyDescent="0.25">
      <c r="B254" s="998"/>
      <c r="C254" s="63">
        <v>2018</v>
      </c>
      <c r="D254" s="63">
        <v>2019</v>
      </c>
      <c r="E254" s="63">
        <v>2020</v>
      </c>
      <c r="F254" s="63">
        <v>2021</v>
      </c>
    </row>
    <row r="255" spans="2:7" ht="15.75" thickBot="1" x14ac:dyDescent="0.3">
      <c r="B255" s="999"/>
      <c r="C255" s="64" t="s">
        <v>10</v>
      </c>
      <c r="D255" s="64" t="s">
        <v>11</v>
      </c>
      <c r="E255" s="64" t="s">
        <v>11</v>
      </c>
      <c r="F255" s="64" t="s">
        <v>11</v>
      </c>
    </row>
    <row r="256" spans="2:7" ht="15.75" thickBot="1" x14ac:dyDescent="0.3">
      <c r="B256" s="62" t="s">
        <v>19</v>
      </c>
      <c r="C256" s="161">
        <v>388</v>
      </c>
      <c r="D256" s="161">
        <v>390</v>
      </c>
      <c r="E256" s="161">
        <v>390</v>
      </c>
      <c r="F256" s="161">
        <v>390</v>
      </c>
    </row>
    <row r="257" spans="2:6" ht="15.75" thickBot="1" x14ac:dyDescent="0.3">
      <c r="B257" s="62" t="s">
        <v>20</v>
      </c>
      <c r="C257" s="161">
        <v>14521.383</v>
      </c>
      <c r="D257" s="161">
        <v>17096.03</v>
      </c>
      <c r="E257" s="161">
        <v>17096.03</v>
      </c>
      <c r="F257" s="161">
        <v>17096.03</v>
      </c>
    </row>
    <row r="258" spans="2:6" ht="15.75" thickBot="1" x14ac:dyDescent="0.3">
      <c r="B258" s="62" t="s">
        <v>21</v>
      </c>
      <c r="C258" s="161">
        <v>37.42624484536082</v>
      </c>
      <c r="D258" s="161">
        <v>43.835974358974362</v>
      </c>
      <c r="E258" s="161">
        <v>43.835974358974362</v>
      </c>
      <c r="F258" s="161">
        <v>43.835974358974362</v>
      </c>
    </row>
    <row r="259" spans="2:6" ht="15.75" thickBot="1" x14ac:dyDescent="0.3">
      <c r="B259" s="62" t="s">
        <v>22</v>
      </c>
      <c r="C259" s="636"/>
      <c r="D259" s="162">
        <v>5.1546391752577136E-3</v>
      </c>
      <c r="E259" s="162">
        <v>0</v>
      </c>
      <c r="F259" s="162">
        <v>0</v>
      </c>
    </row>
    <row r="260" spans="2:6" ht="15.75" thickBot="1" x14ac:dyDescent="0.3">
      <c r="B260" s="62" t="s">
        <v>24</v>
      </c>
      <c r="C260" s="636"/>
      <c r="D260" s="162">
        <v>0.1773003990046953</v>
      </c>
      <c r="E260" s="162">
        <v>0</v>
      </c>
      <c r="F260" s="162">
        <v>0</v>
      </c>
    </row>
    <row r="261" spans="2:6" ht="15.75" thickBot="1" x14ac:dyDescent="0.3">
      <c r="B261" s="62" t="s">
        <v>25</v>
      </c>
      <c r="C261" s="636"/>
      <c r="D261" s="162">
        <v>0.17126296106108163</v>
      </c>
      <c r="E261" s="162">
        <v>0</v>
      </c>
      <c r="F261" s="162">
        <v>0</v>
      </c>
    </row>
    <row r="262" spans="2:6" ht="15.75" customHeight="1" thickBot="1" x14ac:dyDescent="0.3">
      <c r="B262" s="1000" t="s">
        <v>891</v>
      </c>
      <c r="C262" s="1001"/>
      <c r="D262" s="1001"/>
      <c r="E262" s="1001"/>
      <c r="F262" s="1002"/>
    </row>
    <row r="263" spans="2:6" x14ac:dyDescent="0.25">
      <c r="B263" s="998"/>
      <c r="C263" s="63">
        <v>2018</v>
      </c>
      <c r="D263" s="63">
        <v>2019</v>
      </c>
      <c r="E263" s="63">
        <v>2020</v>
      </c>
      <c r="F263" s="63">
        <v>2021</v>
      </c>
    </row>
    <row r="264" spans="2:6" ht="15.75" thickBot="1" x14ac:dyDescent="0.3">
      <c r="B264" s="999"/>
      <c r="C264" s="64" t="s">
        <v>10</v>
      </c>
      <c r="D264" s="64" t="s">
        <v>11</v>
      </c>
      <c r="E264" s="64" t="s">
        <v>11</v>
      </c>
      <c r="F264" s="64" t="s">
        <v>11</v>
      </c>
    </row>
    <row r="265" spans="2:6" ht="15.75" thickBot="1" x14ac:dyDescent="0.3">
      <c r="B265" s="65" t="s">
        <v>26</v>
      </c>
      <c r="C265" s="164">
        <v>6416.6670000000004</v>
      </c>
      <c r="D265" s="164">
        <v>8840.3829999999998</v>
      </c>
      <c r="E265" s="164">
        <v>8840.3829999999998</v>
      </c>
      <c r="F265" s="164">
        <v>8840.3829999999998</v>
      </c>
    </row>
    <row r="266" spans="2:6" ht="15.75" thickBot="1" x14ac:dyDescent="0.3">
      <c r="B266" s="65" t="s">
        <v>28</v>
      </c>
      <c r="C266" s="164">
        <v>1044.2829999999999</v>
      </c>
      <c r="D266" s="164">
        <v>1436.7170000000001</v>
      </c>
      <c r="E266" s="164">
        <v>1436.7170000000001</v>
      </c>
      <c r="F266" s="164">
        <v>1436.7170000000001</v>
      </c>
    </row>
    <row r="267" spans="2:6" ht="15.75" thickBot="1" x14ac:dyDescent="0.3">
      <c r="B267" s="65" t="s">
        <v>30</v>
      </c>
      <c r="C267" s="165">
        <v>4505.433</v>
      </c>
      <c r="D267" s="164">
        <v>4351.3239999999996</v>
      </c>
      <c r="E267" s="164">
        <v>4351.3239999999996</v>
      </c>
      <c r="F267" s="164">
        <v>4351.3239999999996</v>
      </c>
    </row>
    <row r="268" spans="2:6" ht="15.75" thickBot="1" x14ac:dyDescent="0.3">
      <c r="B268" s="65" t="s">
        <v>32</v>
      </c>
      <c r="C268" s="165">
        <v>0</v>
      </c>
      <c r="D268" s="164">
        <v>0</v>
      </c>
      <c r="E268" s="164">
        <v>0</v>
      </c>
      <c r="F268" s="164">
        <v>0</v>
      </c>
    </row>
    <row r="269" spans="2:6" ht="15.75" thickBot="1" x14ac:dyDescent="0.3">
      <c r="B269" s="65" t="s">
        <v>34</v>
      </c>
      <c r="C269" s="165">
        <v>0</v>
      </c>
      <c r="D269" s="164">
        <v>0</v>
      </c>
      <c r="E269" s="164">
        <v>0</v>
      </c>
      <c r="F269" s="164">
        <v>0</v>
      </c>
    </row>
    <row r="270" spans="2:6" ht="15.75" thickBot="1" x14ac:dyDescent="0.3">
      <c r="B270" s="65" t="s">
        <v>36</v>
      </c>
      <c r="C270" s="165">
        <v>2555</v>
      </c>
      <c r="D270" s="164">
        <v>2467.6060000000002</v>
      </c>
      <c r="E270" s="164">
        <v>2467.6060000000002</v>
      </c>
      <c r="F270" s="164">
        <v>2467.6060000000002</v>
      </c>
    </row>
    <row r="271" spans="2:6" ht="15.75" thickBot="1" x14ac:dyDescent="0.3">
      <c r="B271" s="65" t="s">
        <v>38</v>
      </c>
      <c r="C271" s="165">
        <v>0</v>
      </c>
      <c r="D271" s="164">
        <v>0</v>
      </c>
      <c r="E271" s="164">
        <v>0</v>
      </c>
      <c r="F271" s="164">
        <v>0</v>
      </c>
    </row>
    <row r="272" spans="2:6" ht="15.75" thickBot="1" x14ac:dyDescent="0.3">
      <c r="B272" s="66" t="s">
        <v>1273</v>
      </c>
      <c r="C272" s="219">
        <v>14521.383</v>
      </c>
      <c r="D272" s="219">
        <v>17096.03</v>
      </c>
      <c r="E272" s="219">
        <v>17096.03</v>
      </c>
      <c r="F272" s="219">
        <v>17096.03</v>
      </c>
    </row>
    <row r="273" spans="2:6" ht="15.75" thickBot="1" x14ac:dyDescent="0.3">
      <c r="B273" s="166" t="s">
        <v>41</v>
      </c>
      <c r="C273" s="167">
        <v>0</v>
      </c>
      <c r="D273" s="167">
        <v>0</v>
      </c>
      <c r="E273" s="167">
        <v>0</v>
      </c>
      <c r="F273" s="167">
        <v>0</v>
      </c>
    </row>
    <row r="274" spans="2:6" ht="15.75" thickBot="1" x14ac:dyDescent="0.3">
      <c r="B274" s="989" t="s">
        <v>63</v>
      </c>
      <c r="C274" s="990"/>
      <c r="D274" s="990"/>
      <c r="E274" s="990"/>
      <c r="F274" s="991"/>
    </row>
    <row r="275" spans="2:6" ht="15.75" thickBot="1" x14ac:dyDescent="0.3">
      <c r="B275" s="989" t="s">
        <v>56</v>
      </c>
      <c r="C275" s="990"/>
      <c r="D275" s="990"/>
      <c r="E275" s="990"/>
      <c r="F275" s="991"/>
    </row>
    <row r="276" spans="2:6" ht="15.75" thickBot="1" x14ac:dyDescent="0.3">
      <c r="B276" s="67" t="s">
        <v>61</v>
      </c>
      <c r="C276" s="1009" t="s">
        <v>1293</v>
      </c>
      <c r="D276" s="1010"/>
      <c r="E276" s="1010"/>
      <c r="F276" s="1011"/>
    </row>
    <row r="277" spans="2:6" ht="15.75" thickBot="1" x14ac:dyDescent="0.3">
      <c r="B277" s="160" t="s">
        <v>16</v>
      </c>
      <c r="C277" s="992" t="s">
        <v>1293</v>
      </c>
      <c r="D277" s="993"/>
      <c r="E277" s="993"/>
      <c r="F277" s="994"/>
    </row>
    <row r="278" spans="2:6" ht="15.75" customHeight="1" thickBot="1" x14ac:dyDescent="0.3">
      <c r="B278" s="62" t="s">
        <v>17</v>
      </c>
      <c r="C278" s="983" t="s">
        <v>1294</v>
      </c>
      <c r="D278" s="984"/>
      <c r="E278" s="984"/>
      <c r="F278" s="985"/>
    </row>
    <row r="279" spans="2:6" ht="15.75" thickBot="1" x14ac:dyDescent="0.3">
      <c r="B279" s="62" t="s">
        <v>18</v>
      </c>
      <c r="C279" s="995" t="s">
        <v>1279</v>
      </c>
      <c r="D279" s="996"/>
      <c r="E279" s="996"/>
      <c r="F279" s="997"/>
    </row>
    <row r="280" spans="2:6" x14ac:dyDescent="0.25">
      <c r="B280" s="998"/>
      <c r="C280" s="63">
        <v>2018</v>
      </c>
      <c r="D280" s="63">
        <v>2019</v>
      </c>
      <c r="E280" s="63">
        <v>2020</v>
      </c>
      <c r="F280" s="63">
        <v>2021</v>
      </c>
    </row>
    <row r="281" spans="2:6" ht="15.75" thickBot="1" x14ac:dyDescent="0.3">
      <c r="B281" s="999"/>
      <c r="C281" s="64" t="s">
        <v>10</v>
      </c>
      <c r="D281" s="64" t="s">
        <v>11</v>
      </c>
      <c r="E281" s="64" t="s">
        <v>11</v>
      </c>
      <c r="F281" s="64" t="s">
        <v>11</v>
      </c>
    </row>
    <row r="282" spans="2:6" ht="15.75" thickBot="1" x14ac:dyDescent="0.3">
      <c r="B282" s="62" t="s">
        <v>19</v>
      </c>
      <c r="C282" s="161">
        <v>0</v>
      </c>
      <c r="D282" s="161">
        <v>1</v>
      </c>
      <c r="E282" s="161">
        <v>0</v>
      </c>
      <c r="F282" s="161">
        <v>0</v>
      </c>
    </row>
    <row r="283" spans="2:6" ht="15.75" thickBot="1" x14ac:dyDescent="0.3">
      <c r="B283" s="62" t="s">
        <v>20</v>
      </c>
      <c r="C283" s="161">
        <v>0</v>
      </c>
      <c r="D283" s="161">
        <v>2500</v>
      </c>
      <c r="E283" s="161">
        <v>0</v>
      </c>
      <c r="F283" s="161">
        <v>0</v>
      </c>
    </row>
    <row r="284" spans="2:6" ht="15.75" thickBot="1" x14ac:dyDescent="0.3">
      <c r="B284" s="62" t="s">
        <v>21</v>
      </c>
      <c r="C284" s="161" t="e">
        <v>#DIV/0!</v>
      </c>
      <c r="D284" s="161">
        <v>2500</v>
      </c>
      <c r="E284" s="161" t="e">
        <v>#DIV/0!</v>
      </c>
      <c r="F284" s="161" t="e">
        <v>#DIV/0!</v>
      </c>
    </row>
    <row r="285" spans="2:6" ht="15.75" thickBot="1" x14ac:dyDescent="0.3">
      <c r="B285" s="62" t="s">
        <v>22</v>
      </c>
      <c r="C285" s="636" t="s">
        <v>23</v>
      </c>
      <c r="D285" s="162" t="e">
        <v>#DIV/0!</v>
      </c>
      <c r="E285" s="162">
        <v>-1</v>
      </c>
      <c r="F285" s="162" t="e">
        <v>#DIV/0!</v>
      </c>
    </row>
    <row r="286" spans="2:6" ht="15.75" thickBot="1" x14ac:dyDescent="0.3">
      <c r="B286" s="62" t="s">
        <v>24</v>
      </c>
      <c r="C286" s="636" t="s">
        <v>23</v>
      </c>
      <c r="D286" s="162" t="e">
        <v>#DIV/0!</v>
      </c>
      <c r="E286" s="162">
        <v>-1</v>
      </c>
      <c r="F286" s="162" t="e">
        <v>#DIV/0!</v>
      </c>
    </row>
    <row r="287" spans="2:6" ht="15.75" thickBot="1" x14ac:dyDescent="0.3">
      <c r="B287" s="62" t="s">
        <v>25</v>
      </c>
      <c r="C287" s="636" t="s">
        <v>23</v>
      </c>
      <c r="D287" s="162" t="e">
        <v>#DIV/0!</v>
      </c>
      <c r="E287" s="162" t="e">
        <v>#DIV/0!</v>
      </c>
      <c r="F287" s="162" t="e">
        <v>#DIV/0!</v>
      </c>
    </row>
    <row r="288" spans="2:6" ht="15.75" customHeight="1" thickBot="1" x14ac:dyDescent="0.3">
      <c r="B288" s="1000" t="s">
        <v>118</v>
      </c>
      <c r="C288" s="1001"/>
      <c r="D288" s="1001"/>
      <c r="E288" s="1001"/>
      <c r="F288" s="1002"/>
    </row>
    <row r="289" spans="2:6" x14ac:dyDescent="0.25">
      <c r="B289" s="998"/>
      <c r="C289" s="63">
        <v>2018</v>
      </c>
      <c r="D289" s="63">
        <v>2019</v>
      </c>
      <c r="E289" s="63">
        <v>2020</v>
      </c>
      <c r="F289" s="63">
        <v>2021</v>
      </c>
    </row>
    <row r="290" spans="2:6" ht="15.75" thickBot="1" x14ac:dyDescent="0.3">
      <c r="B290" s="999"/>
      <c r="C290" s="64" t="s">
        <v>10</v>
      </c>
      <c r="D290" s="64" t="s">
        <v>11</v>
      </c>
      <c r="E290" s="64" t="s">
        <v>11</v>
      </c>
      <c r="F290" s="64" t="s">
        <v>11</v>
      </c>
    </row>
    <row r="291" spans="2:6" ht="15.75" thickBot="1" x14ac:dyDescent="0.3">
      <c r="B291" s="65" t="s">
        <v>58</v>
      </c>
      <c r="C291" s="164">
        <v>0</v>
      </c>
      <c r="D291" s="164">
        <v>0</v>
      </c>
      <c r="E291" s="164">
        <v>0</v>
      </c>
      <c r="F291" s="164">
        <v>0</v>
      </c>
    </row>
    <row r="292" spans="2:6" ht="15.75" thickBot="1" x14ac:dyDescent="0.3">
      <c r="B292" s="65" t="s">
        <v>59</v>
      </c>
      <c r="C292" s="165">
        <v>0</v>
      </c>
      <c r="D292" s="164">
        <v>2500</v>
      </c>
      <c r="E292" s="164">
        <v>0</v>
      </c>
      <c r="F292" s="164">
        <v>0</v>
      </c>
    </row>
    <row r="293" spans="2:6" ht="15.75" thickBot="1" x14ac:dyDescent="0.3">
      <c r="B293" s="66" t="s">
        <v>40</v>
      </c>
      <c r="C293" s="165">
        <v>0</v>
      </c>
      <c r="D293" s="165">
        <v>2500</v>
      </c>
      <c r="E293" s="165">
        <v>0</v>
      </c>
      <c r="F293" s="165">
        <v>0</v>
      </c>
    </row>
    <row r="294" spans="2:6" ht="15.75" thickBot="1" x14ac:dyDescent="0.3">
      <c r="B294" s="989" t="s">
        <v>63</v>
      </c>
      <c r="C294" s="990"/>
      <c r="D294" s="990"/>
      <c r="E294" s="990"/>
      <c r="F294" s="991"/>
    </row>
    <row r="295" spans="2:6" ht="15.75" thickBot="1" x14ac:dyDescent="0.3">
      <c r="B295" s="989" t="s">
        <v>64</v>
      </c>
      <c r="C295" s="990"/>
      <c r="D295" s="990"/>
      <c r="E295" s="990"/>
      <c r="F295" s="991"/>
    </row>
    <row r="296" spans="2:6" ht="15.75" thickBot="1" x14ac:dyDescent="0.3">
      <c r="B296" s="67" t="s">
        <v>61</v>
      </c>
      <c r="C296" s="1009" t="s">
        <v>1295</v>
      </c>
      <c r="D296" s="1010"/>
      <c r="E296" s="1010"/>
      <c r="F296" s="1011"/>
    </row>
    <row r="297" spans="2:6" ht="15.75" thickBot="1" x14ac:dyDescent="0.3">
      <c r="B297" s="160" t="s">
        <v>16</v>
      </c>
      <c r="C297" s="992" t="s">
        <v>1296</v>
      </c>
      <c r="D297" s="993"/>
      <c r="E297" s="993"/>
      <c r="F297" s="994"/>
    </row>
    <row r="298" spans="2:6" ht="15.75" customHeight="1" thickBot="1" x14ac:dyDescent="0.3">
      <c r="B298" s="62" t="s">
        <v>17</v>
      </c>
      <c r="C298" s="983" t="s">
        <v>1297</v>
      </c>
      <c r="D298" s="984"/>
      <c r="E298" s="984"/>
      <c r="F298" s="985"/>
    </row>
    <row r="299" spans="2:6" ht="15.75" thickBot="1" x14ac:dyDescent="0.3">
      <c r="B299" s="62" t="s">
        <v>18</v>
      </c>
      <c r="C299" s="995" t="s">
        <v>1279</v>
      </c>
      <c r="D299" s="996"/>
      <c r="E299" s="996"/>
      <c r="F299" s="997"/>
    </row>
    <row r="300" spans="2:6" x14ac:dyDescent="0.25">
      <c r="B300" s="998"/>
      <c r="C300" s="63">
        <v>2018</v>
      </c>
      <c r="D300" s="63">
        <v>2019</v>
      </c>
      <c r="E300" s="63">
        <v>2020</v>
      </c>
      <c r="F300" s="63">
        <v>2021</v>
      </c>
    </row>
    <row r="301" spans="2:6" ht="15.75" thickBot="1" x14ac:dyDescent="0.3">
      <c r="B301" s="999"/>
      <c r="C301" s="64" t="s">
        <v>10</v>
      </c>
      <c r="D301" s="64" t="s">
        <v>11</v>
      </c>
      <c r="E301" s="64" t="s">
        <v>11</v>
      </c>
      <c r="F301" s="64" t="s">
        <v>11</v>
      </c>
    </row>
    <row r="302" spans="2:6" ht="15.75" thickBot="1" x14ac:dyDescent="0.3">
      <c r="B302" s="62" t="s">
        <v>19</v>
      </c>
      <c r="C302" s="161">
        <v>1</v>
      </c>
      <c r="D302" s="161">
        <v>0</v>
      </c>
      <c r="E302" s="161">
        <v>0</v>
      </c>
      <c r="F302" s="161">
        <v>0</v>
      </c>
    </row>
    <row r="303" spans="2:6" ht="15.75" thickBot="1" x14ac:dyDescent="0.3">
      <c r="B303" s="62" t="s">
        <v>20</v>
      </c>
      <c r="C303" s="161">
        <v>6500</v>
      </c>
      <c r="D303" s="161">
        <v>0</v>
      </c>
      <c r="E303" s="161">
        <v>0</v>
      </c>
      <c r="F303" s="161">
        <v>0</v>
      </c>
    </row>
    <row r="304" spans="2:6" ht="15.75" thickBot="1" x14ac:dyDescent="0.3">
      <c r="B304" s="62" t="s">
        <v>21</v>
      </c>
      <c r="C304" s="161">
        <v>6500</v>
      </c>
      <c r="D304" s="161" t="e">
        <v>#DIV/0!</v>
      </c>
      <c r="E304" s="161" t="e">
        <v>#DIV/0!</v>
      </c>
      <c r="F304" s="161" t="e">
        <v>#DIV/0!</v>
      </c>
    </row>
    <row r="305" spans="2:6" ht="15.75" thickBot="1" x14ac:dyDescent="0.3">
      <c r="B305" s="62" t="s">
        <v>22</v>
      </c>
      <c r="C305" s="636" t="s">
        <v>23</v>
      </c>
      <c r="D305" s="162">
        <v>-1</v>
      </c>
      <c r="E305" s="162" t="e">
        <v>#DIV/0!</v>
      </c>
      <c r="F305" s="162" t="e">
        <v>#DIV/0!</v>
      </c>
    </row>
    <row r="306" spans="2:6" ht="15.75" thickBot="1" x14ac:dyDescent="0.3">
      <c r="B306" s="62" t="s">
        <v>24</v>
      </c>
      <c r="C306" s="636" t="s">
        <v>23</v>
      </c>
      <c r="D306" s="162">
        <v>-1</v>
      </c>
      <c r="E306" s="162" t="e">
        <v>#DIV/0!</v>
      </c>
      <c r="F306" s="162" t="e">
        <v>#DIV/0!</v>
      </c>
    </row>
    <row r="307" spans="2:6" ht="15.75" thickBot="1" x14ac:dyDescent="0.3">
      <c r="B307" s="62" t="s">
        <v>25</v>
      </c>
      <c r="C307" s="636" t="s">
        <v>23</v>
      </c>
      <c r="D307" s="162" t="e">
        <v>#DIV/0!</v>
      </c>
      <c r="E307" s="162" t="e">
        <v>#DIV/0!</v>
      </c>
      <c r="F307" s="162" t="e">
        <v>#DIV/0!</v>
      </c>
    </row>
    <row r="308" spans="2:6" ht="15.75" customHeight="1" thickBot="1" x14ac:dyDescent="0.3">
      <c r="B308" s="1000" t="s">
        <v>118</v>
      </c>
      <c r="C308" s="1001"/>
      <c r="D308" s="1001"/>
      <c r="E308" s="1001"/>
      <c r="F308" s="1002"/>
    </row>
    <row r="309" spans="2:6" x14ac:dyDescent="0.25">
      <c r="B309" s="998"/>
      <c r="C309" s="63">
        <v>2018</v>
      </c>
      <c r="D309" s="63">
        <v>2019</v>
      </c>
      <c r="E309" s="63">
        <v>2020</v>
      </c>
      <c r="F309" s="63">
        <v>2021</v>
      </c>
    </row>
    <row r="310" spans="2:6" ht="15.75" thickBot="1" x14ac:dyDescent="0.3">
      <c r="B310" s="999"/>
      <c r="C310" s="64" t="s">
        <v>10</v>
      </c>
      <c r="D310" s="64" t="s">
        <v>11</v>
      </c>
      <c r="E310" s="64" t="s">
        <v>11</v>
      </c>
      <c r="F310" s="64" t="s">
        <v>11</v>
      </c>
    </row>
    <row r="311" spans="2:6" ht="15.75" thickBot="1" x14ac:dyDescent="0.3">
      <c r="B311" s="65" t="s">
        <v>58</v>
      </c>
      <c r="C311" s="164">
        <v>0</v>
      </c>
      <c r="D311" s="164">
        <v>0</v>
      </c>
      <c r="E311" s="164">
        <v>0</v>
      </c>
      <c r="F311" s="164">
        <v>0</v>
      </c>
    </row>
    <row r="312" spans="2:6" ht="15.75" thickBot="1" x14ac:dyDescent="0.3">
      <c r="B312" s="65" t="s">
        <v>59</v>
      </c>
      <c r="C312" s="165">
        <v>6500</v>
      </c>
      <c r="D312" s="164">
        <v>0</v>
      </c>
      <c r="E312" s="164">
        <v>0</v>
      </c>
      <c r="F312" s="164">
        <v>0</v>
      </c>
    </row>
    <row r="313" spans="2:6" ht="15.75" thickBot="1" x14ac:dyDescent="0.3">
      <c r="B313" s="66" t="s">
        <v>40</v>
      </c>
      <c r="C313" s="165">
        <v>6500</v>
      </c>
      <c r="D313" s="165">
        <v>0</v>
      </c>
      <c r="E313" s="165">
        <v>0</v>
      </c>
      <c r="F313" s="165">
        <v>0</v>
      </c>
    </row>
    <row r="314" spans="2:6" ht="15.75" thickBot="1" x14ac:dyDescent="0.3">
      <c r="B314" s="175"/>
      <c r="C314" s="176"/>
      <c r="D314" s="176"/>
      <c r="E314" s="176"/>
      <c r="F314" s="176"/>
    </row>
    <row r="315" spans="2:6" ht="30.75" thickBot="1" x14ac:dyDescent="0.3">
      <c r="B315" s="158" t="s">
        <v>82</v>
      </c>
      <c r="C315" s="177">
        <v>130969</v>
      </c>
      <c r="D315" s="177">
        <v>154227.269</v>
      </c>
      <c r="E315" s="177">
        <v>151727.269</v>
      </c>
      <c r="F315" s="177">
        <v>151727.269</v>
      </c>
    </row>
    <row r="316" spans="2:6" ht="30.75" thickBot="1" x14ac:dyDescent="0.3">
      <c r="B316" s="158" t="s">
        <v>83</v>
      </c>
      <c r="C316" s="177">
        <f>C318+C320+C322+C328+C324+C326+C330+C332+C334</f>
        <v>130969</v>
      </c>
      <c r="D316" s="177">
        <f t="shared" ref="D316:F316" si="1">D318+D320+D322+D328+D324+D326+D330+D332+D334</f>
        <v>154227.269</v>
      </c>
      <c r="E316" s="177">
        <f t="shared" si="1"/>
        <v>151727.269</v>
      </c>
      <c r="F316" s="177">
        <f t="shared" si="1"/>
        <v>151727.269</v>
      </c>
    </row>
    <row r="317" spans="2:6" ht="30.75" thickBot="1" x14ac:dyDescent="0.3">
      <c r="B317" s="178" t="s">
        <v>84</v>
      </c>
      <c r="C317" s="179"/>
      <c r="D317" s="180">
        <v>0.17758606235063268</v>
      </c>
      <c r="E317" s="180">
        <v>-1.6209844187800582E-2</v>
      </c>
      <c r="F317" s="180">
        <v>0</v>
      </c>
    </row>
    <row r="318" spans="2:6" ht="15.75" thickBot="1" x14ac:dyDescent="0.3">
      <c r="B318" s="65" t="s">
        <v>26</v>
      </c>
      <c r="C318" s="164">
        <v>55000</v>
      </c>
      <c r="D318" s="164">
        <v>78458.399999999994</v>
      </c>
      <c r="E318" s="164">
        <v>78458.399999999994</v>
      </c>
      <c r="F318" s="164">
        <v>78458.399999999994</v>
      </c>
    </row>
    <row r="319" spans="2:6" ht="15.75" thickBot="1" x14ac:dyDescent="0.3">
      <c r="B319" s="181" t="s">
        <v>85</v>
      </c>
      <c r="C319" s="165">
        <v>0</v>
      </c>
      <c r="D319" s="182">
        <v>0.42651636363636358</v>
      </c>
      <c r="E319" s="182">
        <v>0</v>
      </c>
      <c r="F319" s="182">
        <v>0</v>
      </c>
    </row>
    <row r="320" spans="2:6" ht="15.75" thickBot="1" x14ac:dyDescent="0.3">
      <c r="B320" s="65" t="s">
        <v>28</v>
      </c>
      <c r="C320" s="165">
        <f>8951000/1000</f>
        <v>8951</v>
      </c>
      <c r="D320" s="165">
        <f>12750869/1000</f>
        <v>12750.869000000001</v>
      </c>
      <c r="E320" s="165">
        <f>12750869/1000</f>
        <v>12750.869000000001</v>
      </c>
      <c r="F320" s="165">
        <f>12750869/1000</f>
        <v>12750.869000000001</v>
      </c>
    </row>
    <row r="321" spans="2:6" ht="30.75" thickBot="1" x14ac:dyDescent="0.3">
      <c r="B321" s="181" t="s">
        <v>86</v>
      </c>
      <c r="C321" s="165"/>
      <c r="D321" s="182">
        <v>0.4245189364316837</v>
      </c>
      <c r="E321" s="182">
        <v>0</v>
      </c>
      <c r="F321" s="182">
        <v>0</v>
      </c>
    </row>
    <row r="322" spans="2:6" ht="15.75" thickBot="1" x14ac:dyDescent="0.3">
      <c r="B322" s="65" t="s">
        <v>30</v>
      </c>
      <c r="C322" s="164">
        <v>38618</v>
      </c>
      <c r="D322" s="164">
        <v>38618</v>
      </c>
      <c r="E322" s="164">
        <v>38618</v>
      </c>
      <c r="F322" s="164">
        <v>38618</v>
      </c>
    </row>
    <row r="323" spans="2:6" ht="15.75" thickBot="1" x14ac:dyDescent="0.3">
      <c r="B323" s="181" t="s">
        <v>87</v>
      </c>
      <c r="C323" s="165"/>
      <c r="D323" s="182">
        <v>0</v>
      </c>
      <c r="E323" s="182">
        <v>0</v>
      </c>
      <c r="F323" s="182">
        <v>0</v>
      </c>
    </row>
    <row r="324" spans="2:6" ht="15.75" thickBot="1" x14ac:dyDescent="0.3">
      <c r="B324" s="65" t="s">
        <v>32</v>
      </c>
      <c r="C324" s="164">
        <v>0</v>
      </c>
      <c r="D324" s="164">
        <v>0</v>
      </c>
      <c r="E324" s="164">
        <v>0</v>
      </c>
      <c r="F324" s="164">
        <v>0</v>
      </c>
    </row>
    <row r="325" spans="2:6" ht="15.75" thickBot="1" x14ac:dyDescent="0.3">
      <c r="B325" s="181" t="s">
        <v>88</v>
      </c>
      <c r="C325" s="165"/>
      <c r="D325" s="182"/>
      <c r="E325" s="182"/>
      <c r="F325" s="182"/>
    </row>
    <row r="326" spans="2:6" ht="15.75" thickBot="1" x14ac:dyDescent="0.3">
      <c r="B326" s="65" t="s">
        <v>34</v>
      </c>
      <c r="C326" s="164">
        <v>0</v>
      </c>
      <c r="D326" s="164">
        <v>0</v>
      </c>
      <c r="E326" s="164">
        <v>0</v>
      </c>
      <c r="F326" s="164">
        <v>0</v>
      </c>
    </row>
    <row r="327" spans="2:6" ht="15.75" thickBot="1" x14ac:dyDescent="0.3">
      <c r="B327" s="181" t="s">
        <v>89</v>
      </c>
      <c r="C327" s="165"/>
      <c r="D327" s="182"/>
      <c r="E327" s="182"/>
      <c r="F327" s="182"/>
    </row>
    <row r="328" spans="2:6" ht="15.75" thickBot="1" x14ac:dyDescent="0.3">
      <c r="B328" s="65" t="s">
        <v>36</v>
      </c>
      <c r="C328" s="164">
        <v>21900</v>
      </c>
      <c r="D328" s="164">
        <v>21900</v>
      </c>
      <c r="E328" s="164">
        <v>21900</v>
      </c>
      <c r="F328" s="164">
        <v>21900</v>
      </c>
    </row>
    <row r="329" spans="2:6" ht="15.75" thickBot="1" x14ac:dyDescent="0.3">
      <c r="B329" s="181" t="s">
        <v>90</v>
      </c>
      <c r="C329" s="165"/>
      <c r="D329" s="182">
        <v>0</v>
      </c>
      <c r="E329" s="182">
        <v>0</v>
      </c>
      <c r="F329" s="182">
        <v>0</v>
      </c>
    </row>
    <row r="330" spans="2:6" ht="15.75" thickBot="1" x14ac:dyDescent="0.3">
      <c r="B330" s="65" t="s">
        <v>38</v>
      </c>
      <c r="C330" s="164">
        <v>0</v>
      </c>
      <c r="D330" s="164">
        <v>0</v>
      </c>
      <c r="E330" s="164">
        <v>0</v>
      </c>
      <c r="F330" s="164">
        <v>0</v>
      </c>
    </row>
    <row r="331" spans="2:6" ht="30.75" thickBot="1" x14ac:dyDescent="0.3">
      <c r="B331" s="181" t="s">
        <v>91</v>
      </c>
      <c r="C331" s="165"/>
      <c r="D331" s="182"/>
      <c r="E331" s="182"/>
      <c r="F331" s="182"/>
    </row>
    <row r="332" spans="2:6" ht="15.75" thickBot="1" x14ac:dyDescent="0.3">
      <c r="B332" s="65" t="s">
        <v>92</v>
      </c>
      <c r="C332" s="164">
        <v>0</v>
      </c>
      <c r="D332" s="164">
        <v>0</v>
      </c>
      <c r="E332" s="164">
        <v>0</v>
      </c>
      <c r="F332" s="164">
        <v>0</v>
      </c>
    </row>
    <row r="333" spans="2:6" ht="15.75" thickBot="1" x14ac:dyDescent="0.3">
      <c r="B333" s="181" t="s">
        <v>93</v>
      </c>
      <c r="C333" s="165"/>
      <c r="D333" s="182"/>
      <c r="E333" s="182"/>
      <c r="F333" s="182"/>
    </row>
    <row r="334" spans="2:6" ht="15.75" thickBot="1" x14ac:dyDescent="0.3">
      <c r="B334" s="65" t="s">
        <v>94</v>
      </c>
      <c r="C334" s="164">
        <v>6500</v>
      </c>
      <c r="D334" s="164">
        <v>2500</v>
      </c>
      <c r="E334" s="164">
        <v>0</v>
      </c>
      <c r="F334" s="164">
        <v>0</v>
      </c>
    </row>
    <row r="335" spans="2:6" ht="15.75" thickBot="1" x14ac:dyDescent="0.3">
      <c r="B335" s="181" t="s">
        <v>95</v>
      </c>
      <c r="C335" s="165"/>
      <c r="D335" s="182">
        <v>-0.61538461538461542</v>
      </c>
      <c r="E335" s="182">
        <v>-1</v>
      </c>
      <c r="F335" s="182" t="e">
        <v>#DIV/0!</v>
      </c>
    </row>
    <row r="336" spans="2:6" ht="15.75" thickBot="1" x14ac:dyDescent="0.3">
      <c r="B336" s="166" t="s">
        <v>41</v>
      </c>
      <c r="C336" s="167">
        <v>0</v>
      </c>
      <c r="D336" s="167">
        <v>0</v>
      </c>
      <c r="E336" s="167">
        <v>0</v>
      </c>
      <c r="F336" s="167">
        <v>0</v>
      </c>
    </row>
    <row r="337" spans="2:6" ht="30.75" thickBot="1" x14ac:dyDescent="0.3">
      <c r="B337" s="183" t="s">
        <v>96</v>
      </c>
      <c r="C337" s="164">
        <v>60</v>
      </c>
      <c r="D337" s="164">
        <v>71</v>
      </c>
      <c r="E337" s="164">
        <v>71</v>
      </c>
      <c r="F337" s="164">
        <v>71</v>
      </c>
    </row>
    <row r="338" spans="2:6" ht="30.75" thickBot="1" x14ac:dyDescent="0.3">
      <c r="B338" s="183" t="s">
        <v>97</v>
      </c>
      <c r="C338" s="164">
        <v>2</v>
      </c>
      <c r="D338" s="164">
        <v>1</v>
      </c>
      <c r="E338" s="164">
        <v>1</v>
      </c>
      <c r="F338" s="164">
        <v>1</v>
      </c>
    </row>
  </sheetData>
  <mergeCells count="105">
    <mergeCell ref="C299:F299"/>
    <mergeCell ref="B300:B301"/>
    <mergeCell ref="B308:F308"/>
    <mergeCell ref="B309:B310"/>
    <mergeCell ref="C5:F5"/>
    <mergeCell ref="C6:F6"/>
    <mergeCell ref="C7:F7"/>
    <mergeCell ref="B8:F8"/>
    <mergeCell ref="B289:B290"/>
    <mergeCell ref="B294:F294"/>
    <mergeCell ref="B295:F295"/>
    <mergeCell ref="C296:F296"/>
    <mergeCell ref="C297:F297"/>
    <mergeCell ref="C298:F298"/>
    <mergeCell ref="C276:F276"/>
    <mergeCell ref="C277:F277"/>
    <mergeCell ref="C278:F278"/>
    <mergeCell ref="C279:F279"/>
    <mergeCell ref="B280:B281"/>
    <mergeCell ref="B288:F288"/>
    <mergeCell ref="C253:F253"/>
    <mergeCell ref="B254:B255"/>
    <mergeCell ref="B262:F262"/>
    <mergeCell ref="B263:B264"/>
    <mergeCell ref="B274:F274"/>
    <mergeCell ref="B275:F275"/>
    <mergeCell ref="B229:B230"/>
    <mergeCell ref="B237:B238"/>
    <mergeCell ref="B239:F239"/>
    <mergeCell ref="B240:B241"/>
    <mergeCell ref="C251:F251"/>
    <mergeCell ref="C252:F252"/>
    <mergeCell ref="B222:F222"/>
    <mergeCell ref="B223:F223"/>
    <mergeCell ref="B224:B225"/>
    <mergeCell ref="C226:F226"/>
    <mergeCell ref="C227:F227"/>
    <mergeCell ref="C228:F228"/>
    <mergeCell ref="C198:F198"/>
    <mergeCell ref="C199:F199"/>
    <mergeCell ref="B200:B201"/>
    <mergeCell ref="B208:B209"/>
    <mergeCell ref="B210:F210"/>
    <mergeCell ref="B211:B212"/>
    <mergeCell ref="B181:F181"/>
    <mergeCell ref="B182:B183"/>
    <mergeCell ref="B193:F193"/>
    <mergeCell ref="B194:F194"/>
    <mergeCell ref="B195:B196"/>
    <mergeCell ref="C197:F197"/>
    <mergeCell ref="B158:F158"/>
    <mergeCell ref="B159:B160"/>
    <mergeCell ref="C170:F170"/>
    <mergeCell ref="C171:F171"/>
    <mergeCell ref="C172:F172"/>
    <mergeCell ref="B173:B174"/>
    <mergeCell ref="B135:F135"/>
    <mergeCell ref="B136:B137"/>
    <mergeCell ref="C147:F147"/>
    <mergeCell ref="C148:F148"/>
    <mergeCell ref="C149:F149"/>
    <mergeCell ref="B150:B151"/>
    <mergeCell ref="B120:B121"/>
    <mergeCell ref="C122:F122"/>
    <mergeCell ref="C123:F123"/>
    <mergeCell ref="C124:F124"/>
    <mergeCell ref="B125:B126"/>
    <mergeCell ref="B133:B134"/>
    <mergeCell ref="B96:B97"/>
    <mergeCell ref="B104:B105"/>
    <mergeCell ref="B106:F106"/>
    <mergeCell ref="B107:B108"/>
    <mergeCell ref="B118:F118"/>
    <mergeCell ref="B119:F119"/>
    <mergeCell ref="B89:F89"/>
    <mergeCell ref="B90:F90"/>
    <mergeCell ref="B91:B92"/>
    <mergeCell ref="C93:F93"/>
    <mergeCell ref="C94:F94"/>
    <mergeCell ref="C95:F95"/>
    <mergeCell ref="C66:F66"/>
    <mergeCell ref="C67:F67"/>
    <mergeCell ref="C68:F68"/>
    <mergeCell ref="B70:B71"/>
    <mergeCell ref="B77:F77"/>
    <mergeCell ref="B78:B79"/>
    <mergeCell ref="C45:F45"/>
    <mergeCell ref="B47:B48"/>
    <mergeCell ref="B54:F54"/>
    <mergeCell ref="B55:B56"/>
    <mergeCell ref="C20:F20"/>
    <mergeCell ref="C21:F21"/>
    <mergeCell ref="C22:F22"/>
    <mergeCell ref="B23:B24"/>
    <mergeCell ref="B31:F31"/>
    <mergeCell ref="B32:B33"/>
    <mergeCell ref="B9:F11"/>
    <mergeCell ref="C12:F12"/>
    <mergeCell ref="C13:F13"/>
    <mergeCell ref="B14:F14"/>
    <mergeCell ref="B18:F18"/>
    <mergeCell ref="B19:F19"/>
    <mergeCell ref="B3:F3"/>
    <mergeCell ref="C43:F43"/>
    <mergeCell ref="C44:F44"/>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398"/>
  <sheetViews>
    <sheetView topLeftCell="A375" workbookViewId="0">
      <selection activeCell="C372" sqref="C372"/>
    </sheetView>
  </sheetViews>
  <sheetFormatPr defaultRowHeight="15" x14ac:dyDescent="0.25"/>
  <cols>
    <col min="1" max="1" width="9.140625" style="152"/>
    <col min="2" max="2" width="49.85546875" style="152" customWidth="1"/>
    <col min="3" max="3" width="20.28515625" style="152" customWidth="1"/>
    <col min="4" max="4" width="21.28515625" style="152" customWidth="1"/>
    <col min="5" max="5" width="18.7109375" style="152" customWidth="1"/>
    <col min="6" max="6" width="25.42578125" style="152" customWidth="1"/>
    <col min="7" max="16384" width="9.140625" style="152"/>
  </cols>
  <sheetData>
    <row r="2" spans="2:8" x14ac:dyDescent="0.25">
      <c r="B2" s="1072" t="s">
        <v>126</v>
      </c>
      <c r="C2" s="1072"/>
      <c r="D2" s="1072"/>
      <c r="E2" s="1072"/>
      <c r="F2" s="1072"/>
      <c r="G2" s="1072"/>
      <c r="H2" s="1072"/>
    </row>
    <row r="3" spans="2:8" ht="15.75" thickBot="1" x14ac:dyDescent="0.3"/>
    <row r="4" spans="2:8" ht="53.25" customHeight="1" thickBot="1" x14ac:dyDescent="0.3">
      <c r="B4" s="661" t="s">
        <v>2</v>
      </c>
      <c r="C4" s="1629" t="s">
        <v>1301</v>
      </c>
      <c r="D4" s="1630"/>
      <c r="E4" s="1630"/>
      <c r="F4" s="1631"/>
    </row>
    <row r="5" spans="2:8" ht="15.75" thickBot="1" x14ac:dyDescent="0.3">
      <c r="B5" s="153" t="s">
        <v>3</v>
      </c>
      <c r="C5" s="1632">
        <v>1130</v>
      </c>
      <c r="D5" s="1633"/>
      <c r="E5" s="1633"/>
      <c r="F5" s="1634"/>
    </row>
    <row r="6" spans="2:8" ht="15.75" thickBot="1" x14ac:dyDescent="0.3">
      <c r="B6" s="153" t="s">
        <v>5</v>
      </c>
      <c r="C6" s="983" t="s">
        <v>6</v>
      </c>
      <c r="D6" s="984"/>
      <c r="E6" s="984"/>
      <c r="F6" s="985"/>
    </row>
    <row r="7" spans="2:8" ht="15.75" thickBot="1" x14ac:dyDescent="0.3">
      <c r="B7" s="1270" t="s">
        <v>7</v>
      </c>
      <c r="C7" s="1271"/>
      <c r="D7" s="1271"/>
      <c r="E7" s="1271"/>
      <c r="F7" s="1272"/>
    </row>
    <row r="8" spans="2:8" ht="128.25" customHeight="1" thickBot="1" x14ac:dyDescent="0.3">
      <c r="B8" s="1623" t="str">
        <f>'[8]Formati 1 Misioni'!E9</f>
        <v>Menaxhimi i sistemit të prokurimit publik, koncesioneve, PPP dhe ankandit publik në Shqipëri për të arritur efikasitetin e përdorimit të fondeve publike. Përmirësimi i këtyre sistemeve nëpërmjet përafrimit të plotë të legjislacionit vendas me Direktivat përkatëse të Bashkimit Evropian. Ndjekjen e mirëzbatimit të legjislacionit te prokurimit publik nëpërmjet trajnimit të vazhdueshëm të punonjësve që janë ngarkuar me zbatimin e tij në Autoritetet Kontraktore, monitorimit të procedurave të kryera nga këto Autoritete Kontraktore, si dhe dhënien e këshillave dhe asistencës së nevojshme. Rritja e transparencës dhe lufta kundër korrupsionit, nëpërmjet publikimit në faqen e internetit të APP-së dhe në Buletinin Elektronik të Njoftimeve Publike, të të gjitha njoftimeve për procedurat e prokurimit publik, koncesioneve dhe ankandeve, si dhe aplikimi i sistemit të prokurimit elektronik, për kryerjen e të gjitha procedurave të prokurimit publik, nga të gjitha Autoritetet Kontraktore në Republikën e Shqipërisë, perfshire këtu dhe blerjen e vogël. Realizimi i procedurave konkurruese koncesionare,  nëpërmjet platformes elektronike te prokurimit, duke mundesuar transparence dhe lehtesim te kryerjes se ketyre procedurave per palet e perfshira ne proces.</v>
      </c>
      <c r="C8" s="1624"/>
      <c r="D8" s="1624"/>
      <c r="E8" s="1624"/>
      <c r="F8" s="1625"/>
    </row>
    <row r="9" spans="2:8" ht="15.75" thickBot="1" x14ac:dyDescent="0.3">
      <c r="B9" s="1626"/>
      <c r="C9" s="1627"/>
      <c r="D9" s="1627"/>
      <c r="E9" s="1627"/>
      <c r="F9" s="1628"/>
    </row>
    <row r="10" spans="2:8" ht="15.75" thickBot="1" x14ac:dyDescent="0.3">
      <c r="B10" s="1084"/>
      <c r="C10" s="1084"/>
      <c r="D10" s="1084"/>
      <c r="E10" s="1084"/>
      <c r="F10" s="1085"/>
    </row>
    <row r="11" spans="2:8" ht="15.75" thickBot="1" x14ac:dyDescent="0.3">
      <c r="B11" s="154" t="s">
        <v>8</v>
      </c>
      <c r="C11" s="1006" t="s">
        <v>106</v>
      </c>
      <c r="D11" s="993"/>
      <c r="E11" s="993"/>
      <c r="F11" s="994"/>
    </row>
    <row r="12" spans="2:8" x14ac:dyDescent="0.25">
      <c r="B12" s="998" t="s">
        <v>9</v>
      </c>
      <c r="C12" s="640">
        <v>2018</v>
      </c>
      <c r="D12" s="640">
        <v>2019</v>
      </c>
      <c r="E12" s="640">
        <v>2020</v>
      </c>
      <c r="F12" s="640">
        <v>2021</v>
      </c>
    </row>
    <row r="13" spans="2:8" ht="15.75" thickBot="1" x14ac:dyDescent="0.3">
      <c r="B13" s="999"/>
      <c r="C13" s="641" t="s">
        <v>10</v>
      </c>
      <c r="D13" s="641" t="s">
        <v>11</v>
      </c>
      <c r="E13" s="641" t="s">
        <v>11</v>
      </c>
      <c r="F13" s="641" t="s">
        <v>11</v>
      </c>
    </row>
    <row r="14" spans="2:8" ht="15.75" thickBot="1" x14ac:dyDescent="0.3">
      <c r="B14" s="637" t="s">
        <v>211</v>
      </c>
      <c r="C14" s="157" t="s">
        <v>116</v>
      </c>
      <c r="D14" s="157" t="s">
        <v>117</v>
      </c>
      <c r="E14" s="157" t="s">
        <v>117</v>
      </c>
      <c r="F14" s="157" t="s">
        <v>117</v>
      </c>
    </row>
    <row r="15" spans="2:8" ht="15.75" thickBot="1" x14ac:dyDescent="0.3">
      <c r="B15" s="62" t="s">
        <v>212</v>
      </c>
      <c r="C15" s="157" t="s">
        <v>116</v>
      </c>
      <c r="D15" s="157" t="s">
        <v>117</v>
      </c>
      <c r="E15" s="157" t="s">
        <v>117</v>
      </c>
      <c r="F15" s="157" t="s">
        <v>117</v>
      </c>
    </row>
    <row r="16" spans="2:8" ht="15.75" thickBot="1" x14ac:dyDescent="0.3">
      <c r="B16" s="62" t="s">
        <v>115</v>
      </c>
      <c r="C16" s="157" t="s">
        <v>116</v>
      </c>
      <c r="D16" s="157" t="s">
        <v>117</v>
      </c>
      <c r="E16" s="157" t="s">
        <v>117</v>
      </c>
      <c r="F16" s="157" t="s">
        <v>117</v>
      </c>
    </row>
    <row r="17" spans="2:6" ht="15.75" thickBot="1" x14ac:dyDescent="0.3">
      <c r="B17" s="158" t="s">
        <v>12</v>
      </c>
      <c r="C17" s="1007" t="s">
        <v>106</v>
      </c>
      <c r="D17" s="1006"/>
      <c r="E17" s="1006"/>
      <c r="F17" s="1008"/>
    </row>
    <row r="18" spans="2:6" ht="15.75" thickBot="1" x14ac:dyDescent="0.3">
      <c r="B18" s="983" t="s">
        <v>13</v>
      </c>
      <c r="C18" s="984"/>
      <c r="D18" s="984"/>
      <c r="E18" s="984"/>
      <c r="F18" s="985"/>
    </row>
    <row r="19" spans="2:6" ht="15.75" thickBot="1" x14ac:dyDescent="0.3">
      <c r="B19" s="637" t="s">
        <v>211</v>
      </c>
      <c r="C19" s="157" t="s">
        <v>116</v>
      </c>
      <c r="D19" s="157" t="s">
        <v>117</v>
      </c>
      <c r="E19" s="157" t="s">
        <v>117</v>
      </c>
      <c r="F19" s="157" t="s">
        <v>117</v>
      </c>
    </row>
    <row r="20" spans="2:6" ht="15.75" thickBot="1" x14ac:dyDescent="0.3">
      <c r="B20" s="62" t="s">
        <v>212</v>
      </c>
      <c r="C20" s="157" t="s">
        <v>116</v>
      </c>
      <c r="D20" s="157" t="s">
        <v>117</v>
      </c>
      <c r="E20" s="157" t="s">
        <v>117</v>
      </c>
      <c r="F20" s="157" t="s">
        <v>117</v>
      </c>
    </row>
    <row r="21" spans="2:6" ht="15.75" thickBot="1" x14ac:dyDescent="0.3">
      <c r="B21" s="62" t="s">
        <v>115</v>
      </c>
      <c r="C21" s="157" t="s">
        <v>116</v>
      </c>
      <c r="D21" s="157" t="s">
        <v>117</v>
      </c>
      <c r="E21" s="157" t="s">
        <v>117</v>
      </c>
      <c r="F21" s="157" t="s">
        <v>117</v>
      </c>
    </row>
    <row r="22" spans="2:6" ht="15.75" thickBot="1" x14ac:dyDescent="0.3">
      <c r="B22" s="989" t="s">
        <v>14</v>
      </c>
      <c r="C22" s="990"/>
      <c r="D22" s="990"/>
      <c r="E22" s="990"/>
      <c r="F22" s="991"/>
    </row>
    <row r="23" spans="2:6" ht="15.75" thickBot="1" x14ac:dyDescent="0.3">
      <c r="B23" s="989" t="s">
        <v>15</v>
      </c>
      <c r="C23" s="990"/>
      <c r="D23" s="990"/>
      <c r="E23" s="990"/>
      <c r="F23" s="991"/>
    </row>
    <row r="24" spans="2:6" ht="15.75" thickBot="1" x14ac:dyDescent="0.3">
      <c r="B24" s="160" t="s">
        <v>16</v>
      </c>
      <c r="C24" s="1635" t="s">
        <v>1302</v>
      </c>
      <c r="D24" s="1636"/>
      <c r="E24" s="1636"/>
      <c r="F24" s="1637"/>
    </row>
    <row r="25" spans="2:6" ht="15.75" thickBot="1" x14ac:dyDescent="0.3">
      <c r="B25" s="62" t="s">
        <v>17</v>
      </c>
      <c r="C25" s="1638" t="s">
        <v>1303</v>
      </c>
      <c r="D25" s="1639"/>
      <c r="E25" s="1639"/>
      <c r="F25" s="1640"/>
    </row>
    <row r="26" spans="2:6" ht="15.75" thickBot="1" x14ac:dyDescent="0.3">
      <c r="B26" s="62" t="s">
        <v>18</v>
      </c>
      <c r="C26" s="995" t="s">
        <v>1304</v>
      </c>
      <c r="D26" s="996"/>
      <c r="E26" s="996"/>
      <c r="F26" s="997"/>
    </row>
    <row r="27" spans="2:6" x14ac:dyDescent="0.25">
      <c r="B27" s="998"/>
      <c r="C27" s="63">
        <v>2018</v>
      </c>
      <c r="D27" s="63">
        <v>2019</v>
      </c>
      <c r="E27" s="63">
        <v>2020</v>
      </c>
      <c r="F27" s="63">
        <v>2021</v>
      </c>
    </row>
    <row r="28" spans="2:6" ht="15.75" thickBot="1" x14ac:dyDescent="0.3">
      <c r="B28" s="999"/>
      <c r="C28" s="64" t="s">
        <v>10</v>
      </c>
      <c r="D28" s="64" t="s">
        <v>11</v>
      </c>
      <c r="E28" s="64" t="s">
        <v>11</v>
      </c>
      <c r="F28" s="64" t="s">
        <v>11</v>
      </c>
    </row>
    <row r="29" spans="2:6" ht="15.75" thickBot="1" x14ac:dyDescent="0.3">
      <c r="B29" s="62" t="s">
        <v>19</v>
      </c>
      <c r="C29" s="161">
        <v>12</v>
      </c>
      <c r="D29" s="161">
        <v>12</v>
      </c>
      <c r="E29" s="161">
        <v>12</v>
      </c>
      <c r="F29" s="161">
        <v>12</v>
      </c>
    </row>
    <row r="30" spans="2:6" ht="15.75" thickBot="1" x14ac:dyDescent="0.3">
      <c r="B30" s="62" t="s">
        <v>20</v>
      </c>
      <c r="C30" s="161">
        <v>28491</v>
      </c>
      <c r="D30" s="161">
        <v>28491</v>
      </c>
      <c r="E30" s="161">
        <v>28491</v>
      </c>
      <c r="F30" s="161">
        <v>28491</v>
      </c>
    </row>
    <row r="31" spans="2:6" ht="15.75" thickBot="1" x14ac:dyDescent="0.3">
      <c r="B31" s="62" t="s">
        <v>21</v>
      </c>
      <c r="C31" s="161">
        <f>C30/C29</f>
        <v>2374.25</v>
      </c>
      <c r="D31" s="161">
        <f t="shared" ref="D31:F31" si="0">D30/D29</f>
        <v>2374.25</v>
      </c>
      <c r="E31" s="161">
        <f t="shared" si="0"/>
        <v>2374.25</v>
      </c>
      <c r="F31" s="161">
        <f t="shared" si="0"/>
        <v>2374.25</v>
      </c>
    </row>
    <row r="32" spans="2:6" ht="15.75" thickBot="1" x14ac:dyDescent="0.3">
      <c r="B32" s="62" t="s">
        <v>22</v>
      </c>
      <c r="C32" s="636" t="s">
        <v>23</v>
      </c>
      <c r="D32" s="162">
        <f>D29/C29-1</f>
        <v>0</v>
      </c>
      <c r="E32" s="162">
        <f t="shared" ref="E32:F34" si="1">E29/D29-1</f>
        <v>0</v>
      </c>
      <c r="F32" s="162">
        <f t="shared" si="1"/>
        <v>0</v>
      </c>
    </row>
    <row r="33" spans="2:6" ht="15.75" thickBot="1" x14ac:dyDescent="0.3">
      <c r="B33" s="62" t="s">
        <v>24</v>
      </c>
      <c r="C33" s="636" t="s">
        <v>23</v>
      </c>
      <c r="D33" s="162">
        <f>D30/C30-1</f>
        <v>0</v>
      </c>
      <c r="E33" s="162">
        <f t="shared" si="1"/>
        <v>0</v>
      </c>
      <c r="F33" s="162">
        <f t="shared" si="1"/>
        <v>0</v>
      </c>
    </row>
    <row r="34" spans="2:6" ht="15.75" thickBot="1" x14ac:dyDescent="0.3">
      <c r="B34" s="62" t="s">
        <v>25</v>
      </c>
      <c r="C34" s="636" t="s">
        <v>23</v>
      </c>
      <c r="D34" s="162">
        <f>D31/C31-1</f>
        <v>0</v>
      </c>
      <c r="E34" s="162">
        <f t="shared" si="1"/>
        <v>0</v>
      </c>
      <c r="F34" s="162">
        <f t="shared" si="1"/>
        <v>0</v>
      </c>
    </row>
    <row r="35" spans="2:6" ht="15.75" thickBot="1" x14ac:dyDescent="0.3">
      <c r="B35" s="1000" t="s">
        <v>784</v>
      </c>
      <c r="C35" s="1001"/>
      <c r="D35" s="1001"/>
      <c r="E35" s="1001"/>
      <c r="F35" s="1002"/>
    </row>
    <row r="36" spans="2:6"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15.75" thickBot="1" x14ac:dyDescent="0.3">
      <c r="B38" s="65" t="s">
        <v>26</v>
      </c>
      <c r="C38" s="164">
        <v>0</v>
      </c>
      <c r="D38" s="164">
        <v>0</v>
      </c>
      <c r="E38" s="164">
        <v>0</v>
      </c>
      <c r="F38" s="164">
        <v>0</v>
      </c>
    </row>
    <row r="39" spans="2:6" ht="30.75" thickBot="1" x14ac:dyDescent="0.3">
      <c r="B39" s="181" t="s">
        <v>27</v>
      </c>
      <c r="C39" s="165"/>
      <c r="D39" s="288"/>
      <c r="E39" s="288"/>
      <c r="F39" s="288"/>
    </row>
    <row r="40" spans="2:6" ht="30.75" thickBot="1" x14ac:dyDescent="0.3">
      <c r="B40" s="181" t="s">
        <v>817</v>
      </c>
      <c r="C40" s="165"/>
      <c r="D40" s="182"/>
      <c r="E40" s="182"/>
      <c r="F40" s="182"/>
    </row>
    <row r="41" spans="2:6" ht="15.75" thickBot="1" x14ac:dyDescent="0.3">
      <c r="B41" s="65" t="s">
        <v>28</v>
      </c>
      <c r="C41" s="164">
        <v>0</v>
      </c>
      <c r="D41" s="164">
        <v>0</v>
      </c>
      <c r="E41" s="164">
        <v>0</v>
      </c>
      <c r="F41" s="164">
        <v>0</v>
      </c>
    </row>
    <row r="42" spans="2:6" ht="30.75" thickBot="1" x14ac:dyDescent="0.3">
      <c r="B42" s="181" t="s">
        <v>29</v>
      </c>
      <c r="C42" s="165"/>
      <c r="D42" s="164"/>
      <c r="E42" s="164"/>
      <c r="F42" s="164"/>
    </row>
    <row r="43" spans="2:6" ht="30.75" thickBot="1" x14ac:dyDescent="0.3">
      <c r="B43" s="181" t="s">
        <v>818</v>
      </c>
      <c r="C43" s="165"/>
      <c r="D43" s="164"/>
      <c r="E43" s="164"/>
      <c r="F43" s="164"/>
    </row>
    <row r="44" spans="2:6" ht="15.75" thickBot="1" x14ac:dyDescent="0.3">
      <c r="B44" s="65" t="s">
        <v>30</v>
      </c>
      <c r="C44" s="161">
        <v>28491</v>
      </c>
      <c r="D44" s="161">
        <v>28491</v>
      </c>
      <c r="E44" s="161">
        <v>28491</v>
      </c>
      <c r="F44" s="161">
        <v>28491</v>
      </c>
    </row>
    <row r="45" spans="2:6" ht="30.75" thickBot="1" x14ac:dyDescent="0.3">
      <c r="B45" s="181" t="s">
        <v>31</v>
      </c>
      <c r="C45" s="165"/>
      <c r="D45" s="164"/>
      <c r="E45" s="164"/>
      <c r="F45" s="164"/>
    </row>
    <row r="46" spans="2:6" ht="30.75" thickBot="1" x14ac:dyDescent="0.3">
      <c r="B46" s="181" t="s">
        <v>819</v>
      </c>
      <c r="C46" s="165"/>
      <c r="D46" s="164"/>
      <c r="E46" s="164"/>
      <c r="F46" s="164"/>
    </row>
    <row r="47" spans="2:6" ht="15.75" thickBot="1" x14ac:dyDescent="0.3">
      <c r="B47" s="65" t="s">
        <v>32</v>
      </c>
      <c r="C47" s="165">
        <v>0</v>
      </c>
      <c r="D47" s="164">
        <v>0</v>
      </c>
      <c r="E47" s="164">
        <v>0</v>
      </c>
      <c r="F47" s="164">
        <v>0</v>
      </c>
    </row>
    <row r="48" spans="2:6" ht="30.75" thickBot="1" x14ac:dyDescent="0.3">
      <c r="B48" s="181" t="s">
        <v>33</v>
      </c>
      <c r="C48" s="165"/>
      <c r="D48" s="164"/>
      <c r="E48" s="164"/>
      <c r="F48" s="164"/>
    </row>
    <row r="49" spans="2:6" ht="30.75" thickBot="1" x14ac:dyDescent="0.3">
      <c r="B49" s="181" t="s">
        <v>820</v>
      </c>
      <c r="C49" s="165"/>
      <c r="D49" s="164"/>
      <c r="E49" s="164"/>
      <c r="F49" s="164"/>
    </row>
    <row r="50" spans="2:6" ht="15.75" thickBot="1" x14ac:dyDescent="0.3">
      <c r="B50" s="65" t="s">
        <v>34</v>
      </c>
      <c r="C50" s="165">
        <v>0</v>
      </c>
      <c r="D50" s="164">
        <v>0</v>
      </c>
      <c r="E50" s="164">
        <v>0</v>
      </c>
      <c r="F50" s="164">
        <v>0</v>
      </c>
    </row>
    <row r="51" spans="2:6" ht="30.75" thickBot="1" x14ac:dyDescent="0.3">
      <c r="B51" s="181" t="s">
        <v>35</v>
      </c>
      <c r="C51" s="165"/>
      <c r="D51" s="164"/>
      <c r="E51" s="164"/>
      <c r="F51" s="164"/>
    </row>
    <row r="52" spans="2:6" ht="30.75" thickBot="1" x14ac:dyDescent="0.3">
      <c r="B52" s="181" t="s">
        <v>821</v>
      </c>
      <c r="C52" s="165"/>
      <c r="D52" s="164"/>
      <c r="E52" s="164"/>
      <c r="F52" s="164"/>
    </row>
    <row r="53" spans="2:6" ht="15.75" thickBot="1" x14ac:dyDescent="0.3">
      <c r="B53" s="65" t="s">
        <v>36</v>
      </c>
      <c r="C53" s="165">
        <v>0</v>
      </c>
      <c r="D53" s="164">
        <v>0</v>
      </c>
      <c r="E53" s="164">
        <v>0</v>
      </c>
      <c r="F53" s="164">
        <v>0</v>
      </c>
    </row>
    <row r="54" spans="2:6" ht="30.75" thickBot="1" x14ac:dyDescent="0.3">
      <c r="B54" s="181" t="s">
        <v>37</v>
      </c>
      <c r="C54" s="165"/>
      <c r="D54" s="164"/>
      <c r="E54" s="164"/>
      <c r="F54" s="164"/>
    </row>
    <row r="55" spans="2:6" ht="30.75" thickBot="1" x14ac:dyDescent="0.3">
      <c r="B55" s="181" t="s">
        <v>822</v>
      </c>
      <c r="C55" s="165"/>
      <c r="D55" s="164"/>
      <c r="E55" s="164"/>
      <c r="F55" s="164"/>
    </row>
    <row r="56" spans="2:6" ht="15.75" thickBot="1" x14ac:dyDescent="0.3">
      <c r="B56" s="65" t="s">
        <v>38</v>
      </c>
      <c r="C56" s="165">
        <v>0</v>
      </c>
      <c r="D56" s="164">
        <v>0</v>
      </c>
      <c r="E56" s="164">
        <v>0</v>
      </c>
      <c r="F56" s="164">
        <v>0</v>
      </c>
    </row>
    <row r="57" spans="2:6" ht="30.75" thickBot="1" x14ac:dyDescent="0.3">
      <c r="B57" s="181" t="s">
        <v>39</v>
      </c>
      <c r="C57" s="165"/>
      <c r="D57" s="164"/>
      <c r="E57" s="164"/>
      <c r="F57" s="164"/>
    </row>
    <row r="58" spans="2:6" ht="30.75" thickBot="1" x14ac:dyDescent="0.3">
      <c r="B58" s="181" t="s">
        <v>823</v>
      </c>
      <c r="C58" s="165"/>
      <c r="D58" s="164"/>
      <c r="E58" s="164"/>
      <c r="F58" s="164"/>
    </row>
    <row r="59" spans="2:6" ht="15.75" thickBot="1" x14ac:dyDescent="0.3">
      <c r="B59" s="66" t="s">
        <v>40</v>
      </c>
      <c r="C59" s="219">
        <f>C56+C53+C50+C47+C44+C41+C38</f>
        <v>28491</v>
      </c>
      <c r="D59" s="219">
        <f t="shared" ref="D59:F59" si="2">D56+D53+D50+D47+D44+D41+D38</f>
        <v>28491</v>
      </c>
      <c r="E59" s="219">
        <f t="shared" si="2"/>
        <v>28491</v>
      </c>
      <c r="F59" s="219">
        <f t="shared" si="2"/>
        <v>28491</v>
      </c>
    </row>
    <row r="60" spans="2:6" x14ac:dyDescent="0.25">
      <c r="B60" s="1015" t="s">
        <v>785</v>
      </c>
      <c r="C60" s="1036"/>
      <c r="D60" s="1037"/>
      <c r="E60" s="1037"/>
      <c r="F60" s="1038"/>
    </row>
    <row r="61" spans="2:6" x14ac:dyDescent="0.25">
      <c r="B61" s="1016"/>
      <c r="C61" s="1039"/>
      <c r="D61" s="1040"/>
      <c r="E61" s="1040"/>
      <c r="F61" s="1041"/>
    </row>
    <row r="62" spans="2:6" ht="15.75" thickBot="1" x14ac:dyDescent="0.3">
      <c r="B62" s="1017"/>
      <c r="C62" s="1042"/>
      <c r="D62" s="1043"/>
      <c r="E62" s="1043"/>
      <c r="F62" s="1044"/>
    </row>
    <row r="63" spans="2:6" ht="15.75" thickBot="1" x14ac:dyDescent="0.3">
      <c r="B63" s="166" t="s">
        <v>41</v>
      </c>
      <c r="C63" s="167">
        <f>IF(C59-C30=0,0,"Error")</f>
        <v>0</v>
      </c>
      <c r="D63" s="167">
        <f>IF(D59-D30=0,0,"Error")</f>
        <v>0</v>
      </c>
      <c r="E63" s="167">
        <f>IF(E59-E30=0,0,"Error")</f>
        <v>0</v>
      </c>
      <c r="F63" s="167">
        <f>IF(F59-F30=0,0,"Error")</f>
        <v>0</v>
      </c>
    </row>
    <row r="64" spans="2:6" ht="15.75" thickBot="1" x14ac:dyDescent="0.3">
      <c r="B64" s="195" t="s">
        <v>1312</v>
      </c>
      <c r="C64" s="992" t="s">
        <v>1305</v>
      </c>
      <c r="D64" s="993"/>
      <c r="E64" s="993"/>
      <c r="F64" s="994"/>
    </row>
    <row r="65" spans="2:6" ht="90" customHeight="1" thickBot="1" x14ac:dyDescent="0.3">
      <c r="B65" s="62" t="s">
        <v>17</v>
      </c>
      <c r="C65" s="983" t="s">
        <v>1306</v>
      </c>
      <c r="D65" s="984"/>
      <c r="E65" s="984"/>
      <c r="F65" s="985"/>
    </row>
    <row r="66" spans="2:6" ht="15.75" thickBot="1" x14ac:dyDescent="0.3">
      <c r="B66" s="62" t="s">
        <v>18</v>
      </c>
      <c r="C66" s="995" t="s">
        <v>1307</v>
      </c>
      <c r="D66" s="996"/>
      <c r="E66" s="996"/>
      <c r="F66" s="997"/>
    </row>
    <row r="67" spans="2:6" ht="15.75" thickBot="1" x14ac:dyDescent="0.3">
      <c r="B67" s="62" t="s">
        <v>19</v>
      </c>
      <c r="C67" s="161">
        <v>400</v>
      </c>
      <c r="D67" s="161">
        <v>400</v>
      </c>
      <c r="E67" s="161">
        <v>400</v>
      </c>
      <c r="F67" s="161">
        <v>400</v>
      </c>
    </row>
    <row r="68" spans="2:6" x14ac:dyDescent="0.25">
      <c r="B68" s="998"/>
      <c r="C68" s="63">
        <v>2018</v>
      </c>
      <c r="D68" s="63">
        <v>2019</v>
      </c>
      <c r="E68" s="63">
        <v>2020</v>
      </c>
      <c r="F68" s="63">
        <v>2021</v>
      </c>
    </row>
    <row r="69" spans="2:6" ht="15.75" thickBot="1" x14ac:dyDescent="0.3">
      <c r="B69" s="999"/>
      <c r="C69" s="64" t="s">
        <v>10</v>
      </c>
      <c r="D69" s="64" t="s">
        <v>11</v>
      </c>
      <c r="E69" s="64" t="s">
        <v>11</v>
      </c>
      <c r="F69" s="64" t="s">
        <v>11</v>
      </c>
    </row>
    <row r="70" spans="2:6" ht="15.75" thickBot="1" x14ac:dyDescent="0.3">
      <c r="B70" s="62" t="s">
        <v>20</v>
      </c>
      <c r="C70" s="161">
        <v>38659</v>
      </c>
      <c r="D70" s="161">
        <v>38809</v>
      </c>
      <c r="E70" s="161">
        <v>39309</v>
      </c>
      <c r="F70" s="161">
        <v>39309</v>
      </c>
    </row>
    <row r="71" spans="2:6" ht="15.75" thickBot="1" x14ac:dyDescent="0.3">
      <c r="B71" s="62" t="s">
        <v>21</v>
      </c>
      <c r="C71" s="161">
        <f>C70/C67</f>
        <v>96.647499999999994</v>
      </c>
      <c r="D71" s="161">
        <f>D70/D67</f>
        <v>97.022499999999994</v>
      </c>
      <c r="E71" s="161">
        <f>E70/E67</f>
        <v>98.272499999999994</v>
      </c>
      <c r="F71" s="161">
        <f>F70/F67</f>
        <v>98.272499999999994</v>
      </c>
    </row>
    <row r="72" spans="2:6" ht="15.75" thickBot="1" x14ac:dyDescent="0.3">
      <c r="B72" s="62" t="s">
        <v>22</v>
      </c>
      <c r="C72" s="636"/>
      <c r="D72" s="162">
        <f>D67/C67-1</f>
        <v>0</v>
      </c>
      <c r="E72" s="162">
        <f>E67/D67-1</f>
        <v>0</v>
      </c>
      <c r="F72" s="162">
        <f>F67/E67-1</f>
        <v>0</v>
      </c>
    </row>
    <row r="73" spans="2:6" ht="15.75" thickBot="1" x14ac:dyDescent="0.3">
      <c r="B73" s="62" t="s">
        <v>24</v>
      </c>
      <c r="C73" s="636"/>
      <c r="D73" s="162">
        <f>D70/C70-1</f>
        <v>3.8800796709692609E-3</v>
      </c>
      <c r="E73" s="162">
        <f t="shared" ref="E73:F74" si="3">E70/D70-1</f>
        <v>1.2883609472029711E-2</v>
      </c>
      <c r="F73" s="162">
        <f t="shared" si="3"/>
        <v>0</v>
      </c>
    </row>
    <row r="74" spans="2:6" ht="15.75" thickBot="1" x14ac:dyDescent="0.3">
      <c r="B74" s="62" t="s">
        <v>25</v>
      </c>
      <c r="C74" s="636"/>
      <c r="D74" s="162">
        <f>D71/C71-1</f>
        <v>3.8800796709692609E-3</v>
      </c>
      <c r="E74" s="162">
        <f t="shared" si="3"/>
        <v>1.2883609472029711E-2</v>
      </c>
      <c r="F74" s="162">
        <f t="shared" si="3"/>
        <v>0</v>
      </c>
    </row>
    <row r="75" spans="2:6" ht="15.75" thickBot="1" x14ac:dyDescent="0.3">
      <c r="B75" s="1000" t="s">
        <v>796</v>
      </c>
      <c r="C75" s="1001"/>
      <c r="D75" s="1001"/>
      <c r="E75" s="1001"/>
      <c r="F75" s="1002"/>
    </row>
    <row r="76" spans="2:6" x14ac:dyDescent="0.25">
      <c r="B76" s="998"/>
      <c r="C76" s="63">
        <v>2018</v>
      </c>
      <c r="D76" s="63">
        <v>2019</v>
      </c>
      <c r="E76" s="63">
        <v>2020</v>
      </c>
      <c r="F76" s="63">
        <v>2021</v>
      </c>
    </row>
    <row r="77" spans="2:6" ht="15.75" thickBot="1" x14ac:dyDescent="0.3">
      <c r="B77" s="999"/>
      <c r="C77" s="64" t="s">
        <v>10</v>
      </c>
      <c r="D77" s="64" t="s">
        <v>11</v>
      </c>
      <c r="E77" s="64" t="s">
        <v>11</v>
      </c>
      <c r="F77" s="64" t="s">
        <v>11</v>
      </c>
    </row>
    <row r="78" spans="2:6" ht="15.75" thickBot="1" x14ac:dyDescent="0.3">
      <c r="B78" s="65" t="s">
        <v>26</v>
      </c>
      <c r="C78" s="164">
        <v>28350</v>
      </c>
      <c r="D78" s="164">
        <v>28350</v>
      </c>
      <c r="E78" s="164">
        <v>28350</v>
      </c>
      <c r="F78" s="164">
        <v>28350</v>
      </c>
    </row>
    <row r="79" spans="2:6" ht="30.75" thickBot="1" x14ac:dyDescent="0.3">
      <c r="B79" s="181" t="s">
        <v>27</v>
      </c>
      <c r="C79" s="165"/>
      <c r="D79" s="182"/>
      <c r="E79" s="182"/>
      <c r="F79" s="182"/>
    </row>
    <row r="80" spans="2:6" ht="30.75" thickBot="1" x14ac:dyDescent="0.3">
      <c r="B80" s="181" t="s">
        <v>45</v>
      </c>
      <c r="C80" s="165"/>
      <c r="D80" s="182"/>
      <c r="E80" s="182"/>
      <c r="F80" s="182"/>
    </row>
    <row r="81" spans="2:6" ht="15.75" thickBot="1" x14ac:dyDescent="0.3">
      <c r="B81" s="65" t="s">
        <v>28</v>
      </c>
      <c r="C81" s="164">
        <v>4600</v>
      </c>
      <c r="D81" s="164">
        <v>4600</v>
      </c>
      <c r="E81" s="164">
        <v>4600</v>
      </c>
      <c r="F81" s="164">
        <v>4600</v>
      </c>
    </row>
    <row r="82" spans="2:6" ht="30.75" thickBot="1" x14ac:dyDescent="0.3">
      <c r="B82" s="181" t="s">
        <v>29</v>
      </c>
      <c r="C82" s="165"/>
      <c r="D82" s="164"/>
      <c r="E82" s="164"/>
      <c r="F82" s="164"/>
    </row>
    <row r="83" spans="2:6" ht="30.75" thickBot="1" x14ac:dyDescent="0.3">
      <c r="B83" s="181" t="s">
        <v>46</v>
      </c>
      <c r="C83" s="165"/>
      <c r="D83" s="164"/>
      <c r="E83" s="164"/>
      <c r="F83" s="164"/>
    </row>
    <row r="84" spans="2:6" ht="15.75" thickBot="1" x14ac:dyDescent="0.3">
      <c r="B84" s="65" t="s">
        <v>30</v>
      </c>
      <c r="C84" s="165">
        <v>5709</v>
      </c>
      <c r="D84" s="164">
        <v>5859</v>
      </c>
      <c r="E84" s="164">
        <v>6359</v>
      </c>
      <c r="F84" s="164">
        <v>6359</v>
      </c>
    </row>
    <row r="85" spans="2:6" ht="30.75" thickBot="1" x14ac:dyDescent="0.3">
      <c r="B85" s="181" t="s">
        <v>31</v>
      </c>
      <c r="C85" s="165"/>
      <c r="D85" s="164"/>
      <c r="E85" s="164"/>
      <c r="F85" s="164"/>
    </row>
    <row r="86" spans="2:6" ht="30.75" thickBot="1" x14ac:dyDescent="0.3">
      <c r="B86" s="181" t="s">
        <v>47</v>
      </c>
      <c r="C86" s="165"/>
      <c r="D86" s="164"/>
      <c r="E86" s="164"/>
      <c r="F86" s="164"/>
    </row>
    <row r="87" spans="2:6" ht="15.75" thickBot="1" x14ac:dyDescent="0.3">
      <c r="B87" s="65" t="s">
        <v>32</v>
      </c>
      <c r="C87" s="165"/>
      <c r="D87" s="164"/>
      <c r="E87" s="164"/>
      <c r="F87" s="164"/>
    </row>
    <row r="88" spans="2:6" ht="30.75" thickBot="1" x14ac:dyDescent="0.3">
      <c r="B88" s="181" t="s">
        <v>33</v>
      </c>
      <c r="C88" s="165"/>
      <c r="D88" s="164"/>
      <c r="E88" s="164"/>
      <c r="F88" s="164"/>
    </row>
    <row r="89" spans="2:6" ht="30.75" thickBot="1" x14ac:dyDescent="0.3">
      <c r="B89" s="181" t="s">
        <v>48</v>
      </c>
      <c r="C89" s="165"/>
      <c r="D89" s="164"/>
      <c r="E89" s="164"/>
      <c r="F89" s="164"/>
    </row>
    <row r="90" spans="2:6" ht="15.75" thickBot="1" x14ac:dyDescent="0.3">
      <c r="B90" s="65" t="s">
        <v>34</v>
      </c>
      <c r="C90" s="165"/>
      <c r="D90" s="164"/>
      <c r="E90" s="164"/>
      <c r="F90" s="164"/>
    </row>
    <row r="91" spans="2:6" ht="30.75" thickBot="1" x14ac:dyDescent="0.3">
      <c r="B91" s="181" t="s">
        <v>35</v>
      </c>
      <c r="C91" s="165"/>
      <c r="D91" s="164"/>
      <c r="E91" s="164"/>
      <c r="F91" s="164"/>
    </row>
    <row r="92" spans="2:6" ht="30.75" thickBot="1" x14ac:dyDescent="0.3">
      <c r="B92" s="181" t="s">
        <v>49</v>
      </c>
      <c r="C92" s="165"/>
      <c r="D92" s="164"/>
      <c r="E92" s="164"/>
      <c r="F92" s="164"/>
    </row>
    <row r="93" spans="2:6" ht="15.75" thickBot="1" x14ac:dyDescent="0.3">
      <c r="B93" s="65" t="s">
        <v>36</v>
      </c>
      <c r="C93" s="165"/>
      <c r="D93" s="164"/>
      <c r="E93" s="164"/>
      <c r="F93" s="164"/>
    </row>
    <row r="94" spans="2:6" ht="30.75" thickBot="1" x14ac:dyDescent="0.3">
      <c r="B94" s="181" t="s">
        <v>37</v>
      </c>
      <c r="C94" s="165"/>
      <c r="D94" s="164"/>
      <c r="E94" s="164"/>
      <c r="F94" s="164"/>
    </row>
    <row r="95" spans="2:6" ht="30.75" thickBot="1" x14ac:dyDescent="0.3">
      <c r="B95" s="181" t="s">
        <v>50</v>
      </c>
      <c r="C95" s="165"/>
      <c r="D95" s="164"/>
      <c r="E95" s="164"/>
      <c r="F95" s="164"/>
    </row>
    <row r="96" spans="2:6" ht="15.75" thickBot="1" x14ac:dyDescent="0.3">
      <c r="B96" s="65" t="s">
        <v>38</v>
      </c>
      <c r="C96" s="165"/>
      <c r="D96" s="164"/>
      <c r="E96" s="164"/>
      <c r="F96" s="164"/>
    </row>
    <row r="97" spans="2:6" ht="30.75" thickBot="1" x14ac:dyDescent="0.3">
      <c r="B97" s="181" t="s">
        <v>39</v>
      </c>
      <c r="C97" s="165"/>
      <c r="D97" s="164"/>
      <c r="E97" s="164"/>
      <c r="F97" s="164"/>
    </row>
    <row r="98" spans="2:6" ht="30.75" thickBot="1" x14ac:dyDescent="0.3">
      <c r="B98" s="181" t="s">
        <v>51</v>
      </c>
      <c r="C98" s="165"/>
      <c r="D98" s="164"/>
      <c r="E98" s="164"/>
      <c r="F98" s="164"/>
    </row>
    <row r="99" spans="2:6" ht="15.75" thickBot="1" x14ac:dyDescent="0.3">
      <c r="B99" s="196" t="s">
        <v>43</v>
      </c>
      <c r="C99" s="165">
        <f>C96+C93+C90+C87+C84+C81+C78</f>
        <v>38659</v>
      </c>
      <c r="D99" s="165">
        <f t="shared" ref="D99:F99" si="4">D96+D93+D90+D87+D84+D81+D78</f>
        <v>38809</v>
      </c>
      <c r="E99" s="165">
        <f t="shared" si="4"/>
        <v>39309</v>
      </c>
      <c r="F99" s="165">
        <f t="shared" si="4"/>
        <v>39309</v>
      </c>
    </row>
    <row r="100" spans="2:6" x14ac:dyDescent="0.25">
      <c r="B100" s="1015" t="s">
        <v>120</v>
      </c>
      <c r="C100" s="1037"/>
      <c r="D100" s="1037"/>
      <c r="E100" s="1037"/>
      <c r="F100" s="1038"/>
    </row>
    <row r="101" spans="2:6" x14ac:dyDescent="0.25">
      <c r="B101" s="1016"/>
      <c r="C101" s="1040"/>
      <c r="D101" s="1040"/>
      <c r="E101" s="1040"/>
      <c r="F101" s="1041"/>
    </row>
    <row r="102" spans="2:6" ht="15.75" thickBot="1" x14ac:dyDescent="0.3">
      <c r="B102" s="1017"/>
      <c r="C102" s="1043"/>
      <c r="D102" s="1043"/>
      <c r="E102" s="1043"/>
      <c r="F102" s="1044"/>
    </row>
    <row r="103" spans="2:6" ht="15.75" thickBot="1" x14ac:dyDescent="0.3">
      <c r="B103" s="166" t="s">
        <v>41</v>
      </c>
      <c r="C103" s="167">
        <f>IF(C99-C70=0,0,"Error")</f>
        <v>0</v>
      </c>
      <c r="D103" s="167">
        <f>IF(D99-D70=0,0,"Error")</f>
        <v>0</v>
      </c>
      <c r="E103" s="167">
        <f>IF(E99-E70=0,0,"Error")</f>
        <v>0</v>
      </c>
      <c r="F103" s="167">
        <f>IF(F99-F70=0,0,"Error")</f>
        <v>0</v>
      </c>
    </row>
    <row r="104" spans="2:6" ht="15.75" thickBot="1" x14ac:dyDescent="0.3">
      <c r="B104" s="989" t="s">
        <v>55</v>
      </c>
      <c r="C104" s="990"/>
      <c r="D104" s="990"/>
      <c r="E104" s="990"/>
      <c r="F104" s="991"/>
    </row>
    <row r="105" spans="2:6" ht="15.75" thickBot="1" x14ac:dyDescent="0.3">
      <c r="B105" s="989" t="s">
        <v>56</v>
      </c>
      <c r="C105" s="990"/>
      <c r="D105" s="990"/>
      <c r="E105" s="990"/>
      <c r="F105" s="991"/>
    </row>
    <row r="106" spans="2:6" ht="15.75" thickBot="1" x14ac:dyDescent="0.3">
      <c r="B106" s="67" t="s">
        <v>79</v>
      </c>
      <c r="C106" s="1009" t="s">
        <v>130</v>
      </c>
      <c r="D106" s="1010"/>
      <c r="E106" s="1010"/>
      <c r="F106" s="1011"/>
    </row>
    <row r="107" spans="2:6" ht="35.25" customHeight="1" thickBot="1" x14ac:dyDescent="0.3">
      <c r="B107" s="160" t="s">
        <v>16</v>
      </c>
      <c r="C107" s="1641" t="s">
        <v>1308</v>
      </c>
      <c r="D107" s="1642"/>
      <c r="E107" s="1642"/>
      <c r="F107" s="1643"/>
    </row>
    <row r="108" spans="2:6" ht="42" customHeight="1" thickBot="1" x14ac:dyDescent="0.3">
      <c r="B108" s="62" t="s">
        <v>17</v>
      </c>
      <c r="C108" s="1049" t="s">
        <v>1309</v>
      </c>
      <c r="D108" s="1050"/>
      <c r="E108" s="1050"/>
      <c r="F108" s="1051"/>
    </row>
    <row r="109" spans="2:6" ht="15.75" thickBot="1" x14ac:dyDescent="0.3">
      <c r="B109" s="62" t="s">
        <v>18</v>
      </c>
      <c r="C109" s="995" t="s">
        <v>151</v>
      </c>
      <c r="D109" s="996"/>
      <c r="E109" s="996"/>
      <c r="F109" s="997"/>
    </row>
    <row r="110" spans="2:6" x14ac:dyDescent="0.25">
      <c r="B110" s="998"/>
      <c r="C110" s="63">
        <v>2018</v>
      </c>
      <c r="D110" s="63">
        <v>2019</v>
      </c>
      <c r="E110" s="63">
        <v>2020</v>
      </c>
      <c r="F110" s="63">
        <v>2021</v>
      </c>
    </row>
    <row r="111" spans="2:6" ht="15.75" thickBot="1" x14ac:dyDescent="0.3">
      <c r="B111" s="999"/>
      <c r="C111" s="64" t="s">
        <v>10</v>
      </c>
      <c r="D111" s="64" t="s">
        <v>11</v>
      </c>
      <c r="E111" s="64" t="s">
        <v>11</v>
      </c>
      <c r="F111" s="64" t="s">
        <v>11</v>
      </c>
    </row>
    <row r="112" spans="2:6" ht="15.75" thickBot="1" x14ac:dyDescent="0.3">
      <c r="B112" s="62" t="s">
        <v>19</v>
      </c>
      <c r="C112" s="161">
        <v>13</v>
      </c>
      <c r="D112" s="161">
        <v>13</v>
      </c>
      <c r="E112" s="161">
        <v>13</v>
      </c>
      <c r="F112" s="161">
        <v>13</v>
      </c>
    </row>
    <row r="113" spans="2:6" ht="15.75" thickBot="1" x14ac:dyDescent="0.3">
      <c r="B113" s="62" t="s">
        <v>20</v>
      </c>
      <c r="C113" s="161">
        <v>6000</v>
      </c>
      <c r="D113" s="161">
        <v>6000</v>
      </c>
      <c r="E113" s="161">
        <v>6000</v>
      </c>
      <c r="F113" s="161">
        <v>6000</v>
      </c>
    </row>
    <row r="114" spans="2:6" ht="15.75" thickBot="1" x14ac:dyDescent="0.3">
      <c r="B114" s="62" t="s">
        <v>21</v>
      </c>
      <c r="C114" s="161">
        <f>C113/C112</f>
        <v>461.53846153846155</v>
      </c>
      <c r="D114" s="161">
        <f t="shared" ref="D114:F114" si="5">D113/D112</f>
        <v>461.53846153846155</v>
      </c>
      <c r="E114" s="161">
        <f t="shared" si="5"/>
        <v>461.53846153846155</v>
      </c>
      <c r="F114" s="161">
        <f t="shared" si="5"/>
        <v>461.53846153846155</v>
      </c>
    </row>
    <row r="115" spans="2:6" ht="15.75" thickBot="1" x14ac:dyDescent="0.3">
      <c r="B115" s="62" t="s">
        <v>22</v>
      </c>
      <c r="C115" s="636" t="s">
        <v>23</v>
      </c>
      <c r="D115" s="162">
        <f>D112/C112-1</f>
        <v>0</v>
      </c>
      <c r="E115" s="162">
        <f t="shared" ref="E115:F117" si="6">E112/D112-1</f>
        <v>0</v>
      </c>
      <c r="F115" s="162">
        <f t="shared" si="6"/>
        <v>0</v>
      </c>
    </row>
    <row r="116" spans="2:6" ht="15.75" thickBot="1" x14ac:dyDescent="0.3">
      <c r="B116" s="62" t="s">
        <v>24</v>
      </c>
      <c r="C116" s="636" t="s">
        <v>23</v>
      </c>
      <c r="D116" s="162">
        <f>D113/C113-1</f>
        <v>0</v>
      </c>
      <c r="E116" s="162">
        <f t="shared" si="6"/>
        <v>0</v>
      </c>
      <c r="F116" s="162">
        <f t="shared" si="6"/>
        <v>0</v>
      </c>
    </row>
    <row r="117" spans="2:6" ht="15.75" thickBot="1" x14ac:dyDescent="0.3">
      <c r="B117" s="62" t="s">
        <v>25</v>
      </c>
      <c r="C117" s="636" t="s">
        <v>23</v>
      </c>
      <c r="D117" s="162">
        <f>D114/C114-1</f>
        <v>0</v>
      </c>
      <c r="E117" s="162">
        <f t="shared" si="6"/>
        <v>0</v>
      </c>
      <c r="F117" s="162">
        <f t="shared" si="6"/>
        <v>0</v>
      </c>
    </row>
    <row r="118" spans="2:6" ht="15.75" thickBot="1" x14ac:dyDescent="0.3">
      <c r="B118" s="1000" t="s">
        <v>784</v>
      </c>
      <c r="C118" s="1001"/>
      <c r="D118" s="1001"/>
      <c r="E118" s="1001"/>
      <c r="F118" s="1002"/>
    </row>
    <row r="119" spans="2:6" x14ac:dyDescent="0.25">
      <c r="B119" s="998"/>
      <c r="C119" s="63">
        <v>2018</v>
      </c>
      <c r="D119" s="63">
        <v>2019</v>
      </c>
      <c r="E119" s="63">
        <v>2020</v>
      </c>
      <c r="F119" s="63">
        <v>2021</v>
      </c>
    </row>
    <row r="120" spans="2:6" ht="15.75" thickBot="1" x14ac:dyDescent="0.3">
      <c r="B120" s="999"/>
      <c r="C120" s="64" t="s">
        <v>10</v>
      </c>
      <c r="D120" s="64" t="s">
        <v>11</v>
      </c>
      <c r="E120" s="64" t="s">
        <v>11</v>
      </c>
      <c r="F120" s="64" t="s">
        <v>11</v>
      </c>
    </row>
    <row r="121" spans="2:6" ht="15.75" thickBot="1" x14ac:dyDescent="0.3">
      <c r="B121" s="65" t="s">
        <v>58</v>
      </c>
      <c r="C121" s="164"/>
      <c r="D121" s="164"/>
      <c r="E121" s="164"/>
      <c r="F121" s="164"/>
    </row>
    <row r="122" spans="2:6" ht="15.75" thickBot="1" x14ac:dyDescent="0.3">
      <c r="B122" s="65" t="s">
        <v>59</v>
      </c>
      <c r="C122" s="165">
        <v>6000</v>
      </c>
      <c r="D122" s="165">
        <v>6000</v>
      </c>
      <c r="E122" s="165">
        <v>6000</v>
      </c>
      <c r="F122" s="165">
        <v>6000</v>
      </c>
    </row>
    <row r="123" spans="2:6" ht="15.75" thickBot="1" x14ac:dyDescent="0.3">
      <c r="B123" s="66" t="s">
        <v>40</v>
      </c>
      <c r="C123" s="165">
        <f>C122+C121</f>
        <v>6000</v>
      </c>
      <c r="D123" s="165">
        <f t="shared" ref="D123:F123" si="7">D122+D121</f>
        <v>6000</v>
      </c>
      <c r="E123" s="165">
        <f t="shared" si="7"/>
        <v>6000</v>
      </c>
      <c r="F123" s="165">
        <f t="shared" si="7"/>
        <v>6000</v>
      </c>
    </row>
    <row r="124" spans="2:6" x14ac:dyDescent="0.25">
      <c r="B124" s="1015" t="s">
        <v>60</v>
      </c>
      <c r="C124" s="1036"/>
      <c r="D124" s="1037"/>
      <c r="E124" s="1037"/>
      <c r="F124" s="1038"/>
    </row>
    <row r="125" spans="2:6" x14ac:dyDescent="0.25">
      <c r="B125" s="1016"/>
      <c r="C125" s="1039"/>
      <c r="D125" s="1040"/>
      <c r="E125" s="1040"/>
      <c r="F125" s="1041"/>
    </row>
    <row r="126" spans="2:6" ht="15.75" thickBot="1" x14ac:dyDescent="0.3">
      <c r="B126" s="1017"/>
      <c r="C126" s="1042"/>
      <c r="D126" s="1043"/>
      <c r="E126" s="1043"/>
      <c r="F126" s="1044"/>
    </row>
    <row r="127" spans="2:6" ht="15.75" thickBot="1" x14ac:dyDescent="0.3">
      <c r="B127" s="67" t="s">
        <v>61</v>
      </c>
      <c r="C127" s="1009" t="s">
        <v>130</v>
      </c>
      <c r="D127" s="1010"/>
      <c r="E127" s="1010"/>
      <c r="F127" s="1011"/>
    </row>
    <row r="128" spans="2:6" ht="15.75" thickBot="1" x14ac:dyDescent="0.3">
      <c r="B128" s="160" t="s">
        <v>129</v>
      </c>
      <c r="C128" s="992" t="s">
        <v>106</v>
      </c>
      <c r="D128" s="993"/>
      <c r="E128" s="993"/>
      <c r="F128" s="994"/>
    </row>
    <row r="129" spans="2:6" ht="15.75" thickBot="1" x14ac:dyDescent="0.3">
      <c r="B129" s="62" t="s">
        <v>17</v>
      </c>
      <c r="C129" s="983" t="s">
        <v>106</v>
      </c>
      <c r="D129" s="984"/>
      <c r="E129" s="984"/>
      <c r="F129" s="985"/>
    </row>
    <row r="130" spans="2:6" ht="15.75" thickBot="1" x14ac:dyDescent="0.3">
      <c r="B130" s="62" t="s">
        <v>18</v>
      </c>
      <c r="C130" s="995" t="s">
        <v>106</v>
      </c>
      <c r="D130" s="996"/>
      <c r="E130" s="996"/>
      <c r="F130" s="997"/>
    </row>
    <row r="131" spans="2:6" x14ac:dyDescent="0.25">
      <c r="B131" s="998"/>
      <c r="C131" s="63">
        <v>2018</v>
      </c>
      <c r="D131" s="63">
        <v>2019</v>
      </c>
      <c r="E131" s="63">
        <v>2020</v>
      </c>
      <c r="F131" s="63">
        <v>2021</v>
      </c>
    </row>
    <row r="132" spans="2:6" ht="15.75" thickBot="1" x14ac:dyDescent="0.3">
      <c r="B132" s="999"/>
      <c r="C132" s="64" t="s">
        <v>10</v>
      </c>
      <c r="D132" s="64" t="s">
        <v>11</v>
      </c>
      <c r="E132" s="64" t="s">
        <v>11</v>
      </c>
      <c r="F132" s="64" t="s">
        <v>11</v>
      </c>
    </row>
    <row r="133" spans="2:6" ht="15.75" thickBot="1" x14ac:dyDescent="0.3">
      <c r="B133" s="62" t="s">
        <v>19</v>
      </c>
      <c r="C133" s="161"/>
      <c r="D133" s="161"/>
      <c r="E133" s="161"/>
      <c r="F133" s="161"/>
    </row>
    <row r="134" spans="2:6" ht="15.75" thickBot="1" x14ac:dyDescent="0.3">
      <c r="B134" s="62" t="s">
        <v>20</v>
      </c>
      <c r="C134" s="161"/>
      <c r="D134" s="161"/>
      <c r="E134" s="161"/>
      <c r="F134" s="161"/>
    </row>
    <row r="135" spans="2:6" ht="15.75" thickBot="1" x14ac:dyDescent="0.3">
      <c r="B135" s="62" t="s">
        <v>21</v>
      </c>
      <c r="C135" s="161" t="e">
        <f>C134/C133</f>
        <v>#DIV/0!</v>
      </c>
      <c r="D135" s="161" t="e">
        <f t="shared" ref="D135:F135" si="8">D134/D133</f>
        <v>#DIV/0!</v>
      </c>
      <c r="E135" s="161" t="e">
        <f t="shared" si="8"/>
        <v>#DIV/0!</v>
      </c>
      <c r="F135" s="161" t="e">
        <f t="shared" si="8"/>
        <v>#DIV/0!</v>
      </c>
    </row>
    <row r="136" spans="2:6" ht="15.75" thickBot="1" x14ac:dyDescent="0.3">
      <c r="B136" s="62" t="s">
        <v>22</v>
      </c>
      <c r="C136" s="636" t="s">
        <v>23</v>
      </c>
      <c r="D136" s="162" t="e">
        <f>D133/C133-1</f>
        <v>#DIV/0!</v>
      </c>
      <c r="E136" s="162" t="e">
        <f t="shared" ref="E136:F138" si="9">E133/D133-1</f>
        <v>#DIV/0!</v>
      </c>
      <c r="F136" s="162" t="e">
        <f t="shared" si="9"/>
        <v>#DIV/0!</v>
      </c>
    </row>
    <row r="137" spans="2:6" ht="15.75" thickBot="1" x14ac:dyDescent="0.3">
      <c r="B137" s="62" t="s">
        <v>24</v>
      </c>
      <c r="C137" s="636" t="s">
        <v>23</v>
      </c>
      <c r="D137" s="162" t="e">
        <f>D134/C134-1</f>
        <v>#DIV/0!</v>
      </c>
      <c r="E137" s="162" t="e">
        <f t="shared" si="9"/>
        <v>#DIV/0!</v>
      </c>
      <c r="F137" s="162" t="e">
        <f t="shared" si="9"/>
        <v>#DIV/0!</v>
      </c>
    </row>
    <row r="138" spans="2:6" ht="15.75" thickBot="1" x14ac:dyDescent="0.3">
      <c r="B138" s="62" t="s">
        <v>25</v>
      </c>
      <c r="C138" s="636" t="s">
        <v>23</v>
      </c>
      <c r="D138" s="162" t="e">
        <f>D135/C135-1</f>
        <v>#DIV/0!</v>
      </c>
      <c r="E138" s="162" t="e">
        <f t="shared" si="9"/>
        <v>#DIV/0!</v>
      </c>
      <c r="F138" s="162" t="e">
        <f t="shared" si="9"/>
        <v>#DIV/0!</v>
      </c>
    </row>
    <row r="139" spans="2:6" ht="15.75" thickBot="1" x14ac:dyDescent="0.3">
      <c r="B139" s="1000" t="s">
        <v>793</v>
      </c>
      <c r="C139" s="1001"/>
      <c r="D139" s="1001"/>
      <c r="E139" s="1001"/>
      <c r="F139" s="1002"/>
    </row>
    <row r="140" spans="2:6" x14ac:dyDescent="0.25">
      <c r="B140" s="998"/>
      <c r="C140" s="63">
        <v>2018</v>
      </c>
      <c r="D140" s="63">
        <v>2019</v>
      </c>
      <c r="E140" s="63">
        <v>2020</v>
      </c>
      <c r="F140" s="63">
        <v>2021</v>
      </c>
    </row>
    <row r="141" spans="2:6" ht="15.75" thickBot="1" x14ac:dyDescent="0.3">
      <c r="B141" s="999"/>
      <c r="C141" s="64" t="s">
        <v>10</v>
      </c>
      <c r="D141" s="64" t="s">
        <v>11</v>
      </c>
      <c r="E141" s="64" t="s">
        <v>11</v>
      </c>
      <c r="F141" s="64" t="s">
        <v>11</v>
      </c>
    </row>
    <row r="142" spans="2:6" ht="15.75" thickBot="1" x14ac:dyDescent="0.3">
      <c r="B142" s="65" t="s">
        <v>58</v>
      </c>
      <c r="C142" s="164"/>
      <c r="D142" s="164"/>
      <c r="E142" s="164"/>
      <c r="F142" s="164"/>
    </row>
    <row r="143" spans="2:6" ht="15.75" thickBot="1" x14ac:dyDescent="0.3">
      <c r="B143" s="65" t="s">
        <v>59</v>
      </c>
      <c r="C143" s="165"/>
      <c r="D143" s="164"/>
      <c r="E143" s="164"/>
      <c r="F143" s="164"/>
    </row>
    <row r="144" spans="2:6" ht="15.75" thickBot="1" x14ac:dyDescent="0.3">
      <c r="B144" s="66" t="s">
        <v>74</v>
      </c>
      <c r="C144" s="165">
        <f>C143+C142</f>
        <v>0</v>
      </c>
      <c r="D144" s="165">
        <f t="shared" ref="D144:F144" si="10">D143+D142</f>
        <v>0</v>
      </c>
      <c r="E144" s="165">
        <f t="shared" si="10"/>
        <v>0</v>
      </c>
      <c r="F144" s="165">
        <f t="shared" si="10"/>
        <v>0</v>
      </c>
    </row>
    <row r="145" spans="2:6" x14ac:dyDescent="0.25">
      <c r="B145" s="1015" t="s">
        <v>62</v>
      </c>
      <c r="C145" s="1036"/>
      <c r="D145" s="1037"/>
      <c r="E145" s="1037"/>
      <c r="F145" s="1038"/>
    </row>
    <row r="146" spans="2:6" x14ac:dyDescent="0.25">
      <c r="B146" s="1016"/>
      <c r="C146" s="1039"/>
      <c r="D146" s="1040"/>
      <c r="E146" s="1040"/>
      <c r="F146" s="1041"/>
    </row>
    <row r="147" spans="2:6" ht="15.75" thickBot="1" x14ac:dyDescent="0.3">
      <c r="B147" s="1017"/>
      <c r="C147" s="1042"/>
      <c r="D147" s="1043"/>
      <c r="E147" s="1043"/>
      <c r="F147" s="1044"/>
    </row>
    <row r="148" spans="2:6" ht="15.75" thickBot="1" x14ac:dyDescent="0.3">
      <c r="B148" s="989" t="s">
        <v>63</v>
      </c>
      <c r="C148" s="990"/>
      <c r="D148" s="990"/>
      <c r="E148" s="990"/>
      <c r="F148" s="991"/>
    </row>
    <row r="149" spans="2:6" ht="15.75" thickBot="1" x14ac:dyDescent="0.3">
      <c r="B149" s="989" t="s">
        <v>64</v>
      </c>
      <c r="C149" s="990"/>
      <c r="D149" s="990"/>
      <c r="E149" s="990"/>
      <c r="F149" s="991"/>
    </row>
    <row r="150" spans="2:6" ht="15.75" thickBot="1" x14ac:dyDescent="0.3">
      <c r="B150" s="67" t="s">
        <v>61</v>
      </c>
      <c r="C150" s="1009" t="s">
        <v>130</v>
      </c>
      <c r="D150" s="1010"/>
      <c r="E150" s="1010"/>
      <c r="F150" s="1011"/>
    </row>
    <row r="151" spans="2:6" ht="26.25" customHeight="1" thickBot="1" x14ac:dyDescent="0.3">
      <c r="B151" s="160" t="s">
        <v>16</v>
      </c>
      <c r="C151" s="992" t="s">
        <v>1310</v>
      </c>
      <c r="D151" s="993"/>
      <c r="E151" s="993"/>
      <c r="F151" s="994"/>
    </row>
    <row r="152" spans="2:6" ht="75" customHeight="1" thickBot="1" x14ac:dyDescent="0.3">
      <c r="B152" s="62" t="s">
        <v>17</v>
      </c>
      <c r="C152" s="983" t="s">
        <v>1311</v>
      </c>
      <c r="D152" s="984"/>
      <c r="E152" s="984"/>
      <c r="F152" s="985"/>
    </row>
    <row r="153" spans="2:6" ht="15.75" thickBot="1" x14ac:dyDescent="0.3">
      <c r="B153" s="62" t="s">
        <v>18</v>
      </c>
      <c r="C153" s="995" t="s">
        <v>151</v>
      </c>
      <c r="D153" s="996"/>
      <c r="E153" s="996"/>
      <c r="F153" s="997"/>
    </row>
    <row r="154" spans="2:6" x14ac:dyDescent="0.25">
      <c r="B154" s="998"/>
      <c r="C154" s="63">
        <v>2018</v>
      </c>
      <c r="D154" s="63">
        <v>2019</v>
      </c>
      <c r="E154" s="63">
        <v>2020</v>
      </c>
      <c r="F154" s="63">
        <v>2021</v>
      </c>
    </row>
    <row r="155" spans="2:6" ht="15.75" thickBot="1" x14ac:dyDescent="0.3">
      <c r="B155" s="999"/>
      <c r="C155" s="64" t="s">
        <v>10</v>
      </c>
      <c r="D155" s="64" t="s">
        <v>11</v>
      </c>
      <c r="E155" s="64" t="s">
        <v>11</v>
      </c>
      <c r="F155" s="64" t="s">
        <v>11</v>
      </c>
    </row>
    <row r="156" spans="2:6" ht="15.75" thickBot="1" x14ac:dyDescent="0.3">
      <c r="B156" s="62" t="s">
        <v>19</v>
      </c>
      <c r="C156" s="161"/>
      <c r="D156" s="161"/>
      <c r="E156" s="161"/>
      <c r="F156" s="161"/>
    </row>
    <row r="157" spans="2:6" ht="15.75" thickBot="1" x14ac:dyDescent="0.3">
      <c r="B157" s="62" t="s">
        <v>20</v>
      </c>
      <c r="C157" s="161"/>
      <c r="D157" s="161"/>
      <c r="E157" s="161"/>
      <c r="F157" s="161"/>
    </row>
    <row r="158" spans="2:6" ht="15.75" thickBot="1" x14ac:dyDescent="0.3">
      <c r="B158" s="62" t="s">
        <v>21</v>
      </c>
      <c r="C158" s="161" t="e">
        <f>C157/C156</f>
        <v>#DIV/0!</v>
      </c>
      <c r="D158" s="161" t="e">
        <f t="shared" ref="D158:F158" si="11">D157/D156</f>
        <v>#DIV/0!</v>
      </c>
      <c r="E158" s="161" t="e">
        <f t="shared" si="11"/>
        <v>#DIV/0!</v>
      </c>
      <c r="F158" s="161" t="e">
        <f t="shared" si="11"/>
        <v>#DIV/0!</v>
      </c>
    </row>
    <row r="159" spans="2:6" ht="15.75" thickBot="1" x14ac:dyDescent="0.3">
      <c r="B159" s="62" t="s">
        <v>22</v>
      </c>
      <c r="C159" s="636" t="s">
        <v>23</v>
      </c>
      <c r="D159" s="162" t="e">
        <f>D156/C156-1</f>
        <v>#DIV/0!</v>
      </c>
      <c r="E159" s="162" t="e">
        <f t="shared" ref="E159:F161" si="12">E156/D156-1</f>
        <v>#DIV/0!</v>
      </c>
      <c r="F159" s="162" t="e">
        <f t="shared" si="12"/>
        <v>#DIV/0!</v>
      </c>
    </row>
    <row r="160" spans="2:6" ht="15.75" thickBot="1" x14ac:dyDescent="0.3">
      <c r="B160" s="62" t="s">
        <v>24</v>
      </c>
      <c r="C160" s="636" t="s">
        <v>23</v>
      </c>
      <c r="D160" s="162" t="e">
        <f>D157/C157-1</f>
        <v>#DIV/0!</v>
      </c>
      <c r="E160" s="162" t="e">
        <f t="shared" si="12"/>
        <v>#DIV/0!</v>
      </c>
      <c r="F160" s="162" t="e">
        <f t="shared" si="12"/>
        <v>#DIV/0!</v>
      </c>
    </row>
    <row r="161" spans="2:6" ht="15.75" thickBot="1" x14ac:dyDescent="0.3">
      <c r="B161" s="62" t="s">
        <v>25</v>
      </c>
      <c r="C161" s="636" t="s">
        <v>23</v>
      </c>
      <c r="D161" s="162" t="e">
        <f>D158/C158-1</f>
        <v>#DIV/0!</v>
      </c>
      <c r="E161" s="162" t="e">
        <f t="shared" si="12"/>
        <v>#DIV/0!</v>
      </c>
      <c r="F161" s="162" t="e">
        <f t="shared" si="12"/>
        <v>#DIV/0!</v>
      </c>
    </row>
    <row r="162" spans="2:6" ht="15.75" thickBot="1" x14ac:dyDescent="0.3">
      <c r="B162" s="1000" t="s">
        <v>784</v>
      </c>
      <c r="C162" s="1001"/>
      <c r="D162" s="1001"/>
      <c r="E162" s="1001"/>
      <c r="F162" s="1002"/>
    </row>
    <row r="163" spans="2:6" x14ac:dyDescent="0.25">
      <c r="B163" s="998"/>
      <c r="C163" s="63">
        <v>2018</v>
      </c>
      <c r="D163" s="63">
        <v>2019</v>
      </c>
      <c r="E163" s="63">
        <v>2020</v>
      </c>
      <c r="F163" s="63">
        <v>2021</v>
      </c>
    </row>
    <row r="164" spans="2:6" ht="15.75" thickBot="1" x14ac:dyDescent="0.3">
      <c r="B164" s="999"/>
      <c r="C164" s="64" t="s">
        <v>10</v>
      </c>
      <c r="D164" s="64" t="s">
        <v>11</v>
      </c>
      <c r="E164" s="64" t="s">
        <v>11</v>
      </c>
      <c r="F164" s="64" t="s">
        <v>11</v>
      </c>
    </row>
    <row r="165" spans="2:6" ht="15.75" thickBot="1" x14ac:dyDescent="0.3">
      <c r="B165" s="65" t="s">
        <v>58</v>
      </c>
      <c r="C165" s="164"/>
      <c r="D165" s="164"/>
      <c r="E165" s="164"/>
      <c r="F165" s="164"/>
    </row>
    <row r="166" spans="2:6" ht="15.75" thickBot="1" x14ac:dyDescent="0.3">
      <c r="B166" s="65" t="s">
        <v>59</v>
      </c>
      <c r="C166" s="165"/>
      <c r="D166" s="164"/>
      <c r="E166" s="164"/>
      <c r="F166" s="164"/>
    </row>
    <row r="167" spans="2:6" ht="15.75" thickBot="1" x14ac:dyDescent="0.3">
      <c r="B167" s="66" t="s">
        <v>40</v>
      </c>
      <c r="C167" s="165">
        <f>C166+C165</f>
        <v>0</v>
      </c>
      <c r="D167" s="165">
        <f t="shared" ref="D167:F167" si="13">D166+D165</f>
        <v>0</v>
      </c>
      <c r="E167" s="165">
        <f t="shared" si="13"/>
        <v>0</v>
      </c>
      <c r="F167" s="165">
        <f t="shared" si="13"/>
        <v>0</v>
      </c>
    </row>
    <row r="168" spans="2:6" x14ac:dyDescent="0.25">
      <c r="B168" s="1015" t="s">
        <v>60</v>
      </c>
      <c r="C168" s="1036"/>
      <c r="D168" s="1037"/>
      <c r="E168" s="1037"/>
      <c r="F168" s="1038"/>
    </row>
    <row r="169" spans="2:6" x14ac:dyDescent="0.25">
      <c r="B169" s="1016"/>
      <c r="C169" s="1039"/>
      <c r="D169" s="1040"/>
      <c r="E169" s="1040"/>
      <c r="F169" s="1041"/>
    </row>
    <row r="170" spans="2:6" ht="15.75" thickBot="1" x14ac:dyDescent="0.3">
      <c r="B170" s="1017"/>
      <c r="C170" s="1042"/>
      <c r="D170" s="1043"/>
      <c r="E170" s="1043"/>
      <c r="F170" s="1044"/>
    </row>
    <row r="171" spans="2:6" ht="15.75" thickBot="1" x14ac:dyDescent="0.3">
      <c r="B171" s="67" t="s">
        <v>61</v>
      </c>
      <c r="C171" s="1009" t="s">
        <v>130</v>
      </c>
      <c r="D171" s="1010"/>
      <c r="E171" s="1010"/>
      <c r="F171" s="1011"/>
    </row>
    <row r="172" spans="2:6" ht="15.75" thickBot="1" x14ac:dyDescent="0.3">
      <c r="B172" s="160" t="s">
        <v>129</v>
      </c>
      <c r="C172" s="992" t="s">
        <v>106</v>
      </c>
      <c r="D172" s="993"/>
      <c r="E172" s="993"/>
      <c r="F172" s="994"/>
    </row>
    <row r="173" spans="2:6" ht="15.75" thickBot="1" x14ac:dyDescent="0.3">
      <c r="B173" s="62" t="s">
        <v>17</v>
      </c>
      <c r="C173" s="983" t="s">
        <v>106</v>
      </c>
      <c r="D173" s="984"/>
      <c r="E173" s="984"/>
      <c r="F173" s="985"/>
    </row>
    <row r="174" spans="2:6" ht="15.75" thickBot="1" x14ac:dyDescent="0.3">
      <c r="B174" s="62" t="s">
        <v>18</v>
      </c>
      <c r="C174" s="995" t="s">
        <v>106</v>
      </c>
      <c r="D174" s="996"/>
      <c r="E174" s="996"/>
      <c r="F174" s="997"/>
    </row>
    <row r="175" spans="2:6" x14ac:dyDescent="0.25">
      <c r="B175" s="998"/>
      <c r="C175" s="63">
        <v>2018</v>
      </c>
      <c r="D175" s="63">
        <v>2019</v>
      </c>
      <c r="E175" s="63">
        <v>2020</v>
      </c>
      <c r="F175" s="63">
        <v>2021</v>
      </c>
    </row>
    <row r="176" spans="2:6" ht="15.75" thickBot="1" x14ac:dyDescent="0.3">
      <c r="B176" s="999"/>
      <c r="C176" s="64" t="s">
        <v>10</v>
      </c>
      <c r="D176" s="64" t="s">
        <v>11</v>
      </c>
      <c r="E176" s="64" t="s">
        <v>11</v>
      </c>
      <c r="F176" s="64" t="s">
        <v>11</v>
      </c>
    </row>
    <row r="177" spans="2:6" ht="15.75" thickBot="1" x14ac:dyDescent="0.3">
      <c r="B177" s="62" t="s">
        <v>19</v>
      </c>
      <c r="C177" s="161"/>
      <c r="D177" s="161"/>
      <c r="E177" s="161"/>
      <c r="F177" s="161"/>
    </row>
    <row r="178" spans="2:6" ht="15.75" thickBot="1" x14ac:dyDescent="0.3">
      <c r="B178" s="62" t="s">
        <v>20</v>
      </c>
      <c r="C178" s="161"/>
      <c r="D178" s="161"/>
      <c r="E178" s="161"/>
      <c r="F178" s="161"/>
    </row>
    <row r="179" spans="2:6" ht="15.75" thickBot="1" x14ac:dyDescent="0.3">
      <c r="B179" s="62" t="s">
        <v>21</v>
      </c>
      <c r="C179" s="161" t="e">
        <f>C178/C177</f>
        <v>#DIV/0!</v>
      </c>
      <c r="D179" s="161" t="e">
        <f t="shared" ref="D179:F179" si="14">D178/D177</f>
        <v>#DIV/0!</v>
      </c>
      <c r="E179" s="161" t="e">
        <f t="shared" si="14"/>
        <v>#DIV/0!</v>
      </c>
      <c r="F179" s="161" t="e">
        <f t="shared" si="14"/>
        <v>#DIV/0!</v>
      </c>
    </row>
    <row r="180" spans="2:6" ht="15.75" thickBot="1" x14ac:dyDescent="0.3">
      <c r="B180" s="62" t="s">
        <v>22</v>
      </c>
      <c r="C180" s="636" t="s">
        <v>23</v>
      </c>
      <c r="D180" s="162" t="e">
        <f>D177/C177-1</f>
        <v>#DIV/0!</v>
      </c>
      <c r="E180" s="162" t="e">
        <f t="shared" ref="E180:F182" si="15">E177/D177-1</f>
        <v>#DIV/0!</v>
      </c>
      <c r="F180" s="162" t="e">
        <f t="shared" si="15"/>
        <v>#DIV/0!</v>
      </c>
    </row>
    <row r="181" spans="2:6" ht="15.75" thickBot="1" x14ac:dyDescent="0.3">
      <c r="B181" s="62" t="s">
        <v>24</v>
      </c>
      <c r="C181" s="636" t="s">
        <v>23</v>
      </c>
      <c r="D181" s="162" t="e">
        <f>D178/C178-1</f>
        <v>#DIV/0!</v>
      </c>
      <c r="E181" s="162" t="e">
        <f t="shared" si="15"/>
        <v>#DIV/0!</v>
      </c>
      <c r="F181" s="162" t="e">
        <f t="shared" si="15"/>
        <v>#DIV/0!</v>
      </c>
    </row>
    <row r="182" spans="2:6" ht="15.75" thickBot="1" x14ac:dyDescent="0.3">
      <c r="B182" s="62" t="s">
        <v>25</v>
      </c>
      <c r="C182" s="636" t="s">
        <v>23</v>
      </c>
      <c r="D182" s="162" t="e">
        <f>D179/C179-1</f>
        <v>#DIV/0!</v>
      </c>
      <c r="E182" s="162" t="e">
        <f t="shared" si="15"/>
        <v>#DIV/0!</v>
      </c>
      <c r="F182" s="162" t="e">
        <f t="shared" si="15"/>
        <v>#DIV/0!</v>
      </c>
    </row>
    <row r="183" spans="2:6" ht="15.75" thickBot="1" x14ac:dyDescent="0.3">
      <c r="B183" s="1000" t="s">
        <v>793</v>
      </c>
      <c r="C183" s="1001"/>
      <c r="D183" s="1001"/>
      <c r="E183" s="1001"/>
      <c r="F183" s="1002"/>
    </row>
    <row r="184" spans="2:6" x14ac:dyDescent="0.25">
      <c r="B184" s="998"/>
      <c r="C184" s="63">
        <v>2018</v>
      </c>
      <c r="D184" s="63">
        <v>2019</v>
      </c>
      <c r="E184" s="63">
        <v>2020</v>
      </c>
      <c r="F184" s="63">
        <v>2021</v>
      </c>
    </row>
    <row r="185" spans="2:6" ht="15.75" thickBot="1" x14ac:dyDescent="0.3">
      <c r="B185" s="999"/>
      <c r="C185" s="64" t="s">
        <v>10</v>
      </c>
      <c r="D185" s="64" t="s">
        <v>11</v>
      </c>
      <c r="E185" s="64" t="s">
        <v>11</v>
      </c>
      <c r="F185" s="64" t="s">
        <v>11</v>
      </c>
    </row>
    <row r="186" spans="2:6" ht="15.75" thickBot="1" x14ac:dyDescent="0.3">
      <c r="B186" s="65" t="s">
        <v>58</v>
      </c>
      <c r="C186" s="164"/>
      <c r="D186" s="164"/>
      <c r="E186" s="164"/>
      <c r="F186" s="164"/>
    </row>
    <row r="187" spans="2:6" ht="15.75" thickBot="1" x14ac:dyDescent="0.3">
      <c r="B187" s="65" t="s">
        <v>59</v>
      </c>
      <c r="C187" s="165"/>
      <c r="D187" s="164"/>
      <c r="E187" s="164"/>
      <c r="F187" s="164"/>
    </row>
    <row r="188" spans="2:6" ht="15.75" thickBot="1" x14ac:dyDescent="0.3">
      <c r="B188" s="66" t="s">
        <v>74</v>
      </c>
      <c r="C188" s="165">
        <f>C187+C186</f>
        <v>0</v>
      </c>
      <c r="D188" s="165">
        <f t="shared" ref="D188:F188" si="16">D187+D186</f>
        <v>0</v>
      </c>
      <c r="E188" s="165">
        <f t="shared" si="16"/>
        <v>0</v>
      </c>
      <c r="F188" s="165">
        <f t="shared" si="16"/>
        <v>0</v>
      </c>
    </row>
    <row r="189" spans="2:6" x14ac:dyDescent="0.25">
      <c r="B189" s="1015" t="s">
        <v>62</v>
      </c>
      <c r="C189" s="1036"/>
      <c r="D189" s="1037"/>
      <c r="E189" s="1037"/>
      <c r="F189" s="1038"/>
    </row>
    <row r="190" spans="2:6" x14ac:dyDescent="0.25">
      <c r="B190" s="1016"/>
      <c r="C190" s="1039"/>
      <c r="D190" s="1040"/>
      <c r="E190" s="1040"/>
      <c r="F190" s="1041"/>
    </row>
    <row r="191" spans="2:6" ht="15.75" thickBot="1" x14ac:dyDescent="0.3">
      <c r="B191" s="1017"/>
      <c r="C191" s="1042"/>
      <c r="D191" s="1043"/>
      <c r="E191" s="1043"/>
      <c r="F191" s="1044"/>
    </row>
    <row r="192" spans="2:6" ht="15.75" thickBot="1" x14ac:dyDescent="0.3">
      <c r="B192" s="158" t="s">
        <v>67</v>
      </c>
      <c r="C192" s="992" t="s">
        <v>106</v>
      </c>
      <c r="D192" s="993"/>
      <c r="E192" s="993"/>
      <c r="F192" s="994"/>
    </row>
    <row r="193" spans="2:6" ht="15.75" thickBot="1" x14ac:dyDescent="0.3">
      <c r="B193" s="983" t="s">
        <v>68</v>
      </c>
      <c r="C193" s="984"/>
      <c r="D193" s="984"/>
      <c r="E193" s="984"/>
      <c r="F193" s="985"/>
    </row>
    <row r="194" spans="2:6" ht="15.75" thickBot="1" x14ac:dyDescent="0.3">
      <c r="B194" s="637" t="s">
        <v>211</v>
      </c>
      <c r="C194" s="157" t="s">
        <v>116</v>
      </c>
      <c r="D194" s="157" t="s">
        <v>117</v>
      </c>
      <c r="E194" s="157" t="s">
        <v>117</v>
      </c>
      <c r="F194" s="157" t="s">
        <v>117</v>
      </c>
    </row>
    <row r="195" spans="2:6" ht="15.75" thickBot="1" x14ac:dyDescent="0.3">
      <c r="B195" s="62" t="s">
        <v>212</v>
      </c>
      <c r="C195" s="157" t="s">
        <v>116</v>
      </c>
      <c r="D195" s="157" t="s">
        <v>117</v>
      </c>
      <c r="E195" s="157" t="s">
        <v>117</v>
      </c>
      <c r="F195" s="157" t="s">
        <v>117</v>
      </c>
    </row>
    <row r="196" spans="2:6" ht="15.75" thickBot="1" x14ac:dyDescent="0.3">
      <c r="B196" s="62" t="s">
        <v>115</v>
      </c>
      <c r="C196" s="157" t="s">
        <v>116</v>
      </c>
      <c r="D196" s="157" t="s">
        <v>117</v>
      </c>
      <c r="E196" s="157" t="s">
        <v>117</v>
      </c>
      <c r="F196" s="157" t="s">
        <v>117</v>
      </c>
    </row>
    <row r="197" spans="2:6" ht="15.75" thickBot="1" x14ac:dyDescent="0.3">
      <c r="B197" s="1027" t="s">
        <v>69</v>
      </c>
      <c r="C197" s="1028"/>
      <c r="D197" s="1028"/>
      <c r="E197" s="1028"/>
      <c r="F197" s="1029"/>
    </row>
    <row r="198" spans="2:6" ht="15.75" thickBot="1" x14ac:dyDescent="0.3">
      <c r="B198" s="1030" t="s">
        <v>70</v>
      </c>
      <c r="C198" s="1031"/>
      <c r="D198" s="1031"/>
      <c r="E198" s="1031"/>
      <c r="F198" s="1032"/>
    </row>
    <row r="199" spans="2:6" x14ac:dyDescent="0.25">
      <c r="B199" s="998"/>
      <c r="C199" s="63">
        <v>2018</v>
      </c>
      <c r="D199" s="63">
        <v>2019</v>
      </c>
      <c r="E199" s="63">
        <v>2020</v>
      </c>
      <c r="F199" s="63">
        <v>2021</v>
      </c>
    </row>
    <row r="200" spans="2:6" ht="15.75" thickBot="1" x14ac:dyDescent="0.3">
      <c r="B200" s="999"/>
      <c r="C200" s="64" t="s">
        <v>10</v>
      </c>
      <c r="D200" s="64" t="s">
        <v>11</v>
      </c>
      <c r="E200" s="64" t="s">
        <v>11</v>
      </c>
      <c r="F200" s="64" t="s">
        <v>11</v>
      </c>
    </row>
    <row r="201" spans="2:6" ht="15.75" thickBot="1" x14ac:dyDescent="0.3">
      <c r="B201" s="160" t="s">
        <v>16</v>
      </c>
      <c r="C201" s="992" t="s">
        <v>106</v>
      </c>
      <c r="D201" s="993"/>
      <c r="E201" s="993"/>
      <c r="F201" s="994"/>
    </row>
    <row r="202" spans="2:6" ht="15.75" thickBot="1" x14ac:dyDescent="0.3">
      <c r="B202" s="62" t="s">
        <v>17</v>
      </c>
      <c r="C202" s="983" t="s">
        <v>106</v>
      </c>
      <c r="D202" s="984"/>
      <c r="E202" s="984"/>
      <c r="F202" s="985"/>
    </row>
    <row r="203" spans="2:6" ht="15.75" thickBot="1" x14ac:dyDescent="0.3">
      <c r="B203" s="62" t="s">
        <v>18</v>
      </c>
      <c r="C203" s="995" t="s">
        <v>106</v>
      </c>
      <c r="D203" s="996"/>
      <c r="E203" s="996"/>
      <c r="F203" s="997"/>
    </row>
    <row r="204" spans="2:6" x14ac:dyDescent="0.25">
      <c r="B204" s="998"/>
      <c r="C204" s="63">
        <v>2018</v>
      </c>
      <c r="D204" s="63">
        <v>2019</v>
      </c>
      <c r="E204" s="63">
        <v>2020</v>
      </c>
      <c r="F204" s="63">
        <v>2021</v>
      </c>
    </row>
    <row r="205" spans="2:6" ht="15.75" thickBot="1" x14ac:dyDescent="0.3">
      <c r="B205" s="999"/>
      <c r="C205" s="64" t="s">
        <v>10</v>
      </c>
      <c r="D205" s="64" t="s">
        <v>11</v>
      </c>
      <c r="E205" s="64" t="s">
        <v>11</v>
      </c>
      <c r="F205" s="64" t="s">
        <v>11</v>
      </c>
    </row>
    <row r="206" spans="2:6" ht="15.75" thickBot="1" x14ac:dyDescent="0.3">
      <c r="B206" s="62" t="s">
        <v>19</v>
      </c>
      <c r="C206" s="161"/>
      <c r="D206" s="203"/>
      <c r="E206" s="203"/>
      <c r="F206" s="203"/>
    </row>
    <row r="207" spans="2:6" ht="15.75" thickBot="1" x14ac:dyDescent="0.3">
      <c r="B207" s="62" t="s">
        <v>20</v>
      </c>
      <c r="C207" s="161"/>
      <c r="D207" s="161"/>
      <c r="E207" s="161"/>
      <c r="F207" s="161"/>
    </row>
    <row r="208" spans="2:6" ht="15.75" thickBot="1" x14ac:dyDescent="0.3">
      <c r="B208" s="62" t="s">
        <v>21</v>
      </c>
      <c r="C208" s="161" t="e">
        <f>C207/C206</f>
        <v>#DIV/0!</v>
      </c>
      <c r="D208" s="161" t="e">
        <f t="shared" ref="D208:F208" si="17">D207/D206</f>
        <v>#DIV/0!</v>
      </c>
      <c r="E208" s="161" t="e">
        <f t="shared" si="17"/>
        <v>#DIV/0!</v>
      </c>
      <c r="F208" s="161" t="e">
        <f t="shared" si="17"/>
        <v>#DIV/0!</v>
      </c>
    </row>
    <row r="209" spans="2:6" ht="15.75" thickBot="1" x14ac:dyDescent="0.3">
      <c r="B209" s="62" t="s">
        <v>22</v>
      </c>
      <c r="C209" s="636"/>
      <c r="D209" s="162" t="e">
        <f>D206/C206-1</f>
        <v>#DIV/0!</v>
      </c>
      <c r="E209" s="162" t="e">
        <f t="shared" ref="E209:F211" si="18">E206/D206-1</f>
        <v>#DIV/0!</v>
      </c>
      <c r="F209" s="162" t="e">
        <f t="shared" si="18"/>
        <v>#DIV/0!</v>
      </c>
    </row>
    <row r="210" spans="2:6" ht="15.75" thickBot="1" x14ac:dyDescent="0.3">
      <c r="B210" s="62" t="s">
        <v>24</v>
      </c>
      <c r="C210" s="636"/>
      <c r="D210" s="162" t="e">
        <f>D207/C207-1</f>
        <v>#DIV/0!</v>
      </c>
      <c r="E210" s="162" t="e">
        <f t="shared" si="18"/>
        <v>#DIV/0!</v>
      </c>
      <c r="F210" s="162" t="e">
        <f t="shared" si="18"/>
        <v>#DIV/0!</v>
      </c>
    </row>
    <row r="211" spans="2:6" ht="15.75" thickBot="1" x14ac:dyDescent="0.3">
      <c r="B211" s="62" t="s">
        <v>25</v>
      </c>
      <c r="C211" s="636"/>
      <c r="D211" s="162" t="e">
        <f>D208/C208-1</f>
        <v>#DIV/0!</v>
      </c>
      <c r="E211" s="162" t="e">
        <f t="shared" si="18"/>
        <v>#DIV/0!</v>
      </c>
      <c r="F211" s="162" t="e">
        <f t="shared" si="18"/>
        <v>#DIV/0!</v>
      </c>
    </row>
    <row r="212" spans="2:6" x14ac:dyDescent="0.25">
      <c r="B212" s="998"/>
      <c r="C212" s="63">
        <v>2018</v>
      </c>
      <c r="D212" s="63">
        <v>2019</v>
      </c>
      <c r="E212" s="63">
        <v>2020</v>
      </c>
      <c r="F212" s="63">
        <v>2021</v>
      </c>
    </row>
    <row r="213" spans="2:6" ht="15.75" thickBot="1" x14ac:dyDescent="0.3">
      <c r="B213" s="999"/>
      <c r="C213" s="64" t="s">
        <v>10</v>
      </c>
      <c r="D213" s="64" t="s">
        <v>11</v>
      </c>
      <c r="E213" s="64" t="s">
        <v>11</v>
      </c>
      <c r="F213" s="64" t="s">
        <v>11</v>
      </c>
    </row>
    <row r="214" spans="2:6" ht="15.75" thickBot="1" x14ac:dyDescent="0.3">
      <c r="B214" s="1000" t="s">
        <v>794</v>
      </c>
      <c r="C214" s="1001"/>
      <c r="D214" s="1001"/>
      <c r="E214" s="1001"/>
      <c r="F214" s="1002"/>
    </row>
    <row r="215" spans="2:6" x14ac:dyDescent="0.25">
      <c r="B215" s="998"/>
      <c r="C215" s="63">
        <v>2018</v>
      </c>
      <c r="D215" s="63">
        <v>2019</v>
      </c>
      <c r="E215" s="63">
        <v>2020</v>
      </c>
      <c r="F215" s="63">
        <v>2021</v>
      </c>
    </row>
    <row r="216" spans="2:6" ht="15.75" thickBot="1" x14ac:dyDescent="0.3">
      <c r="B216" s="999"/>
      <c r="C216" s="64" t="s">
        <v>10</v>
      </c>
      <c r="D216" s="64" t="s">
        <v>11</v>
      </c>
      <c r="E216" s="64" t="s">
        <v>11</v>
      </c>
      <c r="F216" s="64" t="s">
        <v>11</v>
      </c>
    </row>
    <row r="217" spans="2:6" ht="15.75" thickBot="1" x14ac:dyDescent="0.3">
      <c r="B217" s="65" t="s">
        <v>26</v>
      </c>
      <c r="C217" s="164"/>
      <c r="D217" s="164"/>
      <c r="E217" s="164"/>
      <c r="F217" s="164"/>
    </row>
    <row r="218" spans="2:6" ht="30.75" thickBot="1" x14ac:dyDescent="0.3">
      <c r="B218" s="181" t="s">
        <v>27</v>
      </c>
      <c r="C218" s="165"/>
      <c r="D218" s="182"/>
      <c r="E218" s="182"/>
      <c r="F218" s="182"/>
    </row>
    <row r="219" spans="2:6" ht="30.75" thickBot="1" x14ac:dyDescent="0.3">
      <c r="B219" s="181" t="s">
        <v>45</v>
      </c>
      <c r="C219" s="165"/>
      <c r="D219" s="182"/>
      <c r="E219" s="182"/>
      <c r="F219" s="182"/>
    </row>
    <row r="220" spans="2:6" ht="15.75" thickBot="1" x14ac:dyDescent="0.3">
      <c r="B220" s="65" t="s">
        <v>28</v>
      </c>
      <c r="C220" s="164"/>
      <c r="D220" s="164"/>
      <c r="E220" s="164"/>
      <c r="F220" s="164"/>
    </row>
    <row r="221" spans="2:6" ht="30.75" thickBot="1" x14ac:dyDescent="0.3">
      <c r="B221" s="181" t="s">
        <v>29</v>
      </c>
      <c r="C221" s="165"/>
      <c r="D221" s="164"/>
      <c r="E221" s="164"/>
      <c r="F221" s="164"/>
    </row>
    <row r="222" spans="2:6" ht="30.75" thickBot="1" x14ac:dyDescent="0.3">
      <c r="B222" s="181" t="s">
        <v>46</v>
      </c>
      <c r="C222" s="165"/>
      <c r="D222" s="164"/>
      <c r="E222" s="164"/>
      <c r="F222" s="164"/>
    </row>
    <row r="223" spans="2:6" ht="15.75" thickBot="1" x14ac:dyDescent="0.3">
      <c r="B223" s="65" t="s">
        <v>30</v>
      </c>
      <c r="C223" s="165"/>
      <c r="D223" s="164"/>
      <c r="E223" s="164"/>
      <c r="F223" s="164"/>
    </row>
    <row r="224" spans="2:6" ht="30.75" thickBot="1" x14ac:dyDescent="0.3">
      <c r="B224" s="181" t="s">
        <v>31</v>
      </c>
      <c r="C224" s="165"/>
      <c r="D224" s="164"/>
      <c r="E224" s="164"/>
      <c r="F224" s="164"/>
    </row>
    <row r="225" spans="2:6" ht="30.75" thickBot="1" x14ac:dyDescent="0.3">
      <c r="B225" s="181" t="s">
        <v>47</v>
      </c>
      <c r="C225" s="165"/>
      <c r="D225" s="164"/>
      <c r="E225" s="164"/>
      <c r="F225" s="164"/>
    </row>
    <row r="226" spans="2:6" ht="15.75" thickBot="1" x14ac:dyDescent="0.3">
      <c r="B226" s="65" t="s">
        <v>32</v>
      </c>
      <c r="C226" s="165"/>
      <c r="D226" s="164"/>
      <c r="E226" s="164"/>
      <c r="F226" s="164"/>
    </row>
    <row r="227" spans="2:6" ht="30.75" thickBot="1" x14ac:dyDescent="0.3">
      <c r="B227" s="181" t="s">
        <v>33</v>
      </c>
      <c r="C227" s="165"/>
      <c r="D227" s="164"/>
      <c r="E227" s="164"/>
      <c r="F227" s="164"/>
    </row>
    <row r="228" spans="2:6" ht="30.75" thickBot="1" x14ac:dyDescent="0.3">
      <c r="B228" s="181" t="s">
        <v>48</v>
      </c>
      <c r="C228" s="165"/>
      <c r="D228" s="164"/>
      <c r="E228" s="164"/>
      <c r="F228" s="164"/>
    </row>
    <row r="229" spans="2:6" ht="15.75" thickBot="1" x14ac:dyDescent="0.3">
      <c r="B229" s="65" t="s">
        <v>34</v>
      </c>
      <c r="C229" s="165"/>
      <c r="D229" s="164"/>
      <c r="E229" s="164"/>
      <c r="F229" s="164"/>
    </row>
    <row r="230" spans="2:6" ht="30.75" thickBot="1" x14ac:dyDescent="0.3">
      <c r="B230" s="181" t="s">
        <v>35</v>
      </c>
      <c r="C230" s="165"/>
      <c r="D230" s="164"/>
      <c r="E230" s="164"/>
      <c r="F230" s="164"/>
    </row>
    <row r="231" spans="2:6" ht="30.75" thickBot="1" x14ac:dyDescent="0.3">
      <c r="B231" s="181" t="s">
        <v>49</v>
      </c>
      <c r="C231" s="165"/>
      <c r="D231" s="164"/>
      <c r="E231" s="164"/>
      <c r="F231" s="164"/>
    </row>
    <row r="232" spans="2:6" ht="15.75" thickBot="1" x14ac:dyDescent="0.3">
      <c r="B232" s="65" t="s">
        <v>36</v>
      </c>
      <c r="C232" s="165"/>
      <c r="D232" s="164"/>
      <c r="E232" s="164"/>
      <c r="F232" s="164"/>
    </row>
    <row r="233" spans="2:6" ht="30.75" thickBot="1" x14ac:dyDescent="0.3">
      <c r="B233" s="181" t="s">
        <v>37</v>
      </c>
      <c r="C233" s="165"/>
      <c r="D233" s="164"/>
      <c r="E233" s="164"/>
      <c r="F233" s="164"/>
    </row>
    <row r="234" spans="2:6" ht="30.75" thickBot="1" x14ac:dyDescent="0.3">
      <c r="B234" s="181" t="s">
        <v>50</v>
      </c>
      <c r="C234" s="165"/>
      <c r="D234" s="164"/>
      <c r="E234" s="164"/>
      <c r="F234" s="164"/>
    </row>
    <row r="235" spans="2:6" ht="15.75" thickBot="1" x14ac:dyDescent="0.3">
      <c r="B235" s="65" t="s">
        <v>38</v>
      </c>
      <c r="C235" s="165"/>
      <c r="D235" s="164"/>
      <c r="E235" s="164"/>
      <c r="F235" s="164"/>
    </row>
    <row r="236" spans="2:6" ht="30.75" thickBot="1" x14ac:dyDescent="0.3">
      <c r="B236" s="181" t="s">
        <v>39</v>
      </c>
      <c r="C236" s="165"/>
      <c r="D236" s="164"/>
      <c r="E236" s="164"/>
      <c r="F236" s="164"/>
    </row>
    <row r="237" spans="2:6" ht="30.75" thickBot="1" x14ac:dyDescent="0.3">
      <c r="B237" s="181" t="s">
        <v>51</v>
      </c>
      <c r="C237" s="165"/>
      <c r="D237" s="164"/>
      <c r="E237" s="164"/>
      <c r="F237" s="164"/>
    </row>
    <row r="238" spans="2:6" ht="15.75" thickBot="1" x14ac:dyDescent="0.3">
      <c r="B238" s="204" t="s">
        <v>71</v>
      </c>
      <c r="C238" s="205">
        <f>C235+C232+C229+C226+C223+C220+C217</f>
        <v>0</v>
      </c>
      <c r="D238" s="205">
        <f t="shared" ref="D238:F238" si="19">D235+D232+D229+D226+D223+D220+D217</f>
        <v>0</v>
      </c>
      <c r="E238" s="205">
        <f t="shared" si="19"/>
        <v>0</v>
      </c>
      <c r="F238" s="205">
        <f t="shared" si="19"/>
        <v>0</v>
      </c>
    </row>
    <row r="239" spans="2:6" x14ac:dyDescent="0.25">
      <c r="B239" s="1015" t="s">
        <v>119</v>
      </c>
      <c r="C239" s="1036" t="s">
        <v>23</v>
      </c>
      <c r="D239" s="1037"/>
      <c r="E239" s="1037"/>
      <c r="F239" s="1038"/>
    </row>
    <row r="240" spans="2:6" x14ac:dyDescent="0.25">
      <c r="B240" s="1016"/>
      <c r="C240" s="1039"/>
      <c r="D240" s="1040"/>
      <c r="E240" s="1040"/>
      <c r="F240" s="1041"/>
    </row>
    <row r="241" spans="2:6" ht="15.75" thickBot="1" x14ac:dyDescent="0.3">
      <c r="B241" s="1017"/>
      <c r="C241" s="1042"/>
      <c r="D241" s="1043"/>
      <c r="E241" s="1043"/>
      <c r="F241" s="1044"/>
    </row>
    <row r="242" spans="2:6" ht="15.75" thickBot="1" x14ac:dyDescent="0.3">
      <c r="B242" s="166" t="s">
        <v>41</v>
      </c>
      <c r="C242" s="167">
        <f>IF(C238-C207=0,0,"Error")</f>
        <v>0</v>
      </c>
      <c r="D242" s="167">
        <f>IF(D238-D207=0,0,"Error")</f>
        <v>0</v>
      </c>
      <c r="E242" s="167">
        <f>IF(E238-E207=0,0,"Error")</f>
        <v>0</v>
      </c>
      <c r="F242" s="167">
        <f>IF(F238-F207=0,0,"Error")</f>
        <v>0</v>
      </c>
    </row>
    <row r="243" spans="2:6" ht="15.75" thickBot="1" x14ac:dyDescent="0.3">
      <c r="B243" s="195" t="s">
        <v>791</v>
      </c>
      <c r="C243" s="992" t="s">
        <v>106</v>
      </c>
      <c r="D243" s="993"/>
      <c r="E243" s="993"/>
      <c r="F243" s="994"/>
    </row>
    <row r="244" spans="2:6" ht="15.75" thickBot="1" x14ac:dyDescent="0.3">
      <c r="B244" s="62" t="s">
        <v>17</v>
      </c>
      <c r="C244" s="983" t="s">
        <v>106</v>
      </c>
      <c r="D244" s="984"/>
      <c r="E244" s="984"/>
      <c r="F244" s="985"/>
    </row>
    <row r="245" spans="2:6" ht="15.75" thickBot="1" x14ac:dyDescent="0.3">
      <c r="B245" s="62" t="s">
        <v>18</v>
      </c>
      <c r="C245" s="995" t="s">
        <v>106</v>
      </c>
      <c r="D245" s="996"/>
      <c r="E245" s="996"/>
      <c r="F245" s="997"/>
    </row>
    <row r="246" spans="2:6" x14ac:dyDescent="0.25">
      <c r="B246" s="998"/>
      <c r="C246" s="63">
        <v>2018</v>
      </c>
      <c r="D246" s="63">
        <v>2019</v>
      </c>
      <c r="E246" s="63">
        <v>2020</v>
      </c>
      <c r="F246" s="63">
        <v>2021</v>
      </c>
    </row>
    <row r="247" spans="2:6" ht="15.75" thickBot="1" x14ac:dyDescent="0.3">
      <c r="B247" s="999"/>
      <c r="C247" s="64" t="s">
        <v>10</v>
      </c>
      <c r="D247" s="64" t="s">
        <v>11</v>
      </c>
      <c r="E247" s="64" t="s">
        <v>11</v>
      </c>
      <c r="F247" s="64" t="s">
        <v>11</v>
      </c>
    </row>
    <row r="248" spans="2:6" ht="15.75" thickBot="1" x14ac:dyDescent="0.3">
      <c r="B248" s="62" t="s">
        <v>19</v>
      </c>
      <c r="C248" s="161"/>
      <c r="D248" s="161"/>
      <c r="E248" s="161"/>
      <c r="F248" s="161"/>
    </row>
    <row r="249" spans="2:6" ht="15.75" thickBot="1" x14ac:dyDescent="0.3">
      <c r="B249" s="62" t="s">
        <v>20</v>
      </c>
      <c r="C249" s="161"/>
      <c r="D249" s="161"/>
      <c r="E249" s="161"/>
      <c r="F249" s="161"/>
    </row>
    <row r="250" spans="2:6" ht="15.75" thickBot="1" x14ac:dyDescent="0.3">
      <c r="B250" s="62" t="s">
        <v>21</v>
      </c>
      <c r="C250" s="161" t="e">
        <f>C249/C248</f>
        <v>#DIV/0!</v>
      </c>
      <c r="D250" s="161" t="e">
        <f t="shared" ref="D250:F250" si="20">D249/D248</f>
        <v>#DIV/0!</v>
      </c>
      <c r="E250" s="161" t="e">
        <f t="shared" si="20"/>
        <v>#DIV/0!</v>
      </c>
      <c r="F250" s="161" t="e">
        <f t="shared" si="20"/>
        <v>#DIV/0!</v>
      </c>
    </row>
    <row r="251" spans="2:6" ht="15.75" thickBot="1" x14ac:dyDescent="0.3">
      <c r="B251" s="62" t="s">
        <v>22</v>
      </c>
      <c r="C251" s="636"/>
      <c r="D251" s="162" t="e">
        <f>D248/C248-1</f>
        <v>#DIV/0!</v>
      </c>
      <c r="E251" s="162" t="e">
        <f t="shared" ref="E251:F253" si="21">E248/D248-1</f>
        <v>#DIV/0!</v>
      </c>
      <c r="F251" s="162" t="e">
        <f t="shared" si="21"/>
        <v>#DIV/0!</v>
      </c>
    </row>
    <row r="252" spans="2:6" ht="15.75" thickBot="1" x14ac:dyDescent="0.3">
      <c r="B252" s="62" t="s">
        <v>24</v>
      </c>
      <c r="C252" s="636"/>
      <c r="D252" s="162" t="e">
        <f>D249/C249-1</f>
        <v>#DIV/0!</v>
      </c>
      <c r="E252" s="162" t="e">
        <f t="shared" si="21"/>
        <v>#DIV/0!</v>
      </c>
      <c r="F252" s="162" t="e">
        <f t="shared" si="21"/>
        <v>#DIV/0!</v>
      </c>
    </row>
    <row r="253" spans="2:6" ht="15.75" thickBot="1" x14ac:dyDescent="0.3">
      <c r="B253" s="62" t="s">
        <v>25</v>
      </c>
      <c r="C253" s="636"/>
      <c r="D253" s="162" t="e">
        <f>D250/C250-1</f>
        <v>#DIV/0!</v>
      </c>
      <c r="E253" s="162" t="e">
        <f t="shared" si="21"/>
        <v>#DIV/0!</v>
      </c>
      <c r="F253" s="162" t="e">
        <f t="shared" si="21"/>
        <v>#DIV/0!</v>
      </c>
    </row>
    <row r="254" spans="2:6" ht="15.75" thickBot="1" x14ac:dyDescent="0.3">
      <c r="B254" s="1000" t="s">
        <v>793</v>
      </c>
      <c r="C254" s="1001"/>
      <c r="D254" s="1001"/>
      <c r="E254" s="1001"/>
      <c r="F254" s="1002"/>
    </row>
    <row r="255" spans="2:6" x14ac:dyDescent="0.25">
      <c r="B255" s="998"/>
      <c r="C255" s="63">
        <v>2018</v>
      </c>
      <c r="D255" s="63">
        <v>2019</v>
      </c>
      <c r="E255" s="63">
        <v>2020</v>
      </c>
      <c r="F255" s="63">
        <v>2021</v>
      </c>
    </row>
    <row r="256" spans="2:6" ht="15.75" thickBot="1" x14ac:dyDescent="0.3">
      <c r="B256" s="999"/>
      <c r="C256" s="64" t="s">
        <v>10</v>
      </c>
      <c r="D256" s="64" t="s">
        <v>11</v>
      </c>
      <c r="E256" s="64" t="s">
        <v>11</v>
      </c>
      <c r="F256" s="64" t="s">
        <v>11</v>
      </c>
    </row>
    <row r="257" spans="2:6" ht="15.75" thickBot="1" x14ac:dyDescent="0.3">
      <c r="B257" s="65" t="s">
        <v>26</v>
      </c>
      <c r="C257" s="164"/>
      <c r="D257" s="164"/>
      <c r="E257" s="164"/>
      <c r="F257" s="164"/>
    </row>
    <row r="258" spans="2:6" ht="30.75" thickBot="1" x14ac:dyDescent="0.3">
      <c r="B258" s="181" t="s">
        <v>27</v>
      </c>
      <c r="C258" s="165"/>
      <c r="D258" s="182"/>
      <c r="E258" s="182"/>
      <c r="F258" s="182"/>
    </row>
    <row r="259" spans="2:6" ht="30.75" thickBot="1" x14ac:dyDescent="0.3">
      <c r="B259" s="181" t="s">
        <v>45</v>
      </c>
      <c r="C259" s="165"/>
      <c r="D259" s="182"/>
      <c r="E259" s="182"/>
      <c r="F259" s="182"/>
    </row>
    <row r="260" spans="2:6" ht="15.75" thickBot="1" x14ac:dyDescent="0.3">
      <c r="B260" s="65" t="s">
        <v>28</v>
      </c>
      <c r="C260" s="164"/>
      <c r="D260" s="164"/>
      <c r="E260" s="164"/>
      <c r="F260" s="164"/>
    </row>
    <row r="261" spans="2:6" ht="30.75" thickBot="1" x14ac:dyDescent="0.3">
      <c r="B261" s="181" t="s">
        <v>29</v>
      </c>
      <c r="C261" s="165"/>
      <c r="D261" s="164"/>
      <c r="E261" s="164"/>
      <c r="F261" s="164"/>
    </row>
    <row r="262" spans="2:6" ht="30.75" thickBot="1" x14ac:dyDescent="0.3">
      <c r="B262" s="181" t="s">
        <v>46</v>
      </c>
      <c r="C262" s="165"/>
      <c r="D262" s="164"/>
      <c r="E262" s="164"/>
      <c r="F262" s="164"/>
    </row>
    <row r="263" spans="2:6" ht="15.75" thickBot="1" x14ac:dyDescent="0.3">
      <c r="B263" s="65" t="s">
        <v>30</v>
      </c>
      <c r="C263" s="165"/>
      <c r="D263" s="164"/>
      <c r="E263" s="164"/>
      <c r="F263" s="164"/>
    </row>
    <row r="264" spans="2:6" ht="30.75" thickBot="1" x14ac:dyDescent="0.3">
      <c r="B264" s="181" t="s">
        <v>31</v>
      </c>
      <c r="C264" s="165"/>
      <c r="D264" s="164"/>
      <c r="E264" s="164"/>
      <c r="F264" s="164"/>
    </row>
    <row r="265" spans="2:6" ht="30.75" thickBot="1" x14ac:dyDescent="0.3">
      <c r="B265" s="181" t="s">
        <v>47</v>
      </c>
      <c r="C265" s="165"/>
      <c r="D265" s="164"/>
      <c r="E265" s="164"/>
      <c r="F265" s="164"/>
    </row>
    <row r="266" spans="2:6" ht="15.75" thickBot="1" x14ac:dyDescent="0.3">
      <c r="B266" s="65" t="s">
        <v>32</v>
      </c>
      <c r="C266" s="165"/>
      <c r="D266" s="164"/>
      <c r="E266" s="164"/>
      <c r="F266" s="164"/>
    </row>
    <row r="267" spans="2:6" ht="30.75" thickBot="1" x14ac:dyDescent="0.3">
      <c r="B267" s="181" t="s">
        <v>33</v>
      </c>
      <c r="C267" s="165"/>
      <c r="D267" s="164"/>
      <c r="E267" s="164"/>
      <c r="F267" s="164"/>
    </row>
    <row r="268" spans="2:6" ht="30.75" thickBot="1" x14ac:dyDescent="0.3">
      <c r="B268" s="181" t="s">
        <v>48</v>
      </c>
      <c r="C268" s="165"/>
      <c r="D268" s="164"/>
      <c r="E268" s="164"/>
      <c r="F268" s="164"/>
    </row>
    <row r="269" spans="2:6" ht="15.75" thickBot="1" x14ac:dyDescent="0.3">
      <c r="B269" s="65" t="s">
        <v>34</v>
      </c>
      <c r="C269" s="165"/>
      <c r="D269" s="164"/>
      <c r="E269" s="164"/>
      <c r="F269" s="164"/>
    </row>
    <row r="270" spans="2:6" ht="30.75" thickBot="1" x14ac:dyDescent="0.3">
      <c r="B270" s="181" t="s">
        <v>35</v>
      </c>
      <c r="C270" s="165"/>
      <c r="D270" s="164"/>
      <c r="E270" s="164"/>
      <c r="F270" s="164"/>
    </row>
    <row r="271" spans="2:6" ht="30.75" thickBot="1" x14ac:dyDescent="0.3">
      <c r="B271" s="181" t="s">
        <v>49</v>
      </c>
      <c r="C271" s="165"/>
      <c r="D271" s="164"/>
      <c r="E271" s="164"/>
      <c r="F271" s="164"/>
    </row>
    <row r="272" spans="2:6" ht="15.75" thickBot="1" x14ac:dyDescent="0.3">
      <c r="B272" s="65" t="s">
        <v>36</v>
      </c>
      <c r="C272" s="165"/>
      <c r="D272" s="164"/>
      <c r="E272" s="164"/>
      <c r="F272" s="164"/>
    </row>
    <row r="273" spans="2:6" ht="30.75" thickBot="1" x14ac:dyDescent="0.3">
      <c r="B273" s="181" t="s">
        <v>37</v>
      </c>
      <c r="C273" s="165"/>
      <c r="D273" s="164"/>
      <c r="E273" s="164"/>
      <c r="F273" s="164"/>
    </row>
    <row r="274" spans="2:6" ht="30.75" thickBot="1" x14ac:dyDescent="0.3">
      <c r="B274" s="181" t="s">
        <v>50</v>
      </c>
      <c r="C274" s="165"/>
      <c r="D274" s="164"/>
      <c r="E274" s="164"/>
      <c r="F274" s="164"/>
    </row>
    <row r="275" spans="2:6" ht="15.75" thickBot="1" x14ac:dyDescent="0.3">
      <c r="B275" s="65" t="s">
        <v>38</v>
      </c>
      <c r="C275" s="165"/>
      <c r="D275" s="164"/>
      <c r="E275" s="164"/>
      <c r="F275" s="164"/>
    </row>
    <row r="276" spans="2:6" ht="30.75" thickBot="1" x14ac:dyDescent="0.3">
      <c r="B276" s="181" t="s">
        <v>39</v>
      </c>
      <c r="C276" s="165"/>
      <c r="D276" s="164"/>
      <c r="E276" s="164"/>
      <c r="F276" s="164"/>
    </row>
    <row r="277" spans="2:6" ht="30.75" thickBot="1" x14ac:dyDescent="0.3">
      <c r="B277" s="181" t="s">
        <v>51</v>
      </c>
      <c r="C277" s="165"/>
      <c r="D277" s="164"/>
      <c r="E277" s="164"/>
      <c r="F277" s="164"/>
    </row>
    <row r="278" spans="2:6" ht="15.75" thickBot="1" x14ac:dyDescent="0.3">
      <c r="B278" s="204" t="s">
        <v>71</v>
      </c>
      <c r="C278" s="219">
        <f>C275+C269+C272+C266+C263+C260+C257</f>
        <v>0</v>
      </c>
      <c r="D278" s="219">
        <f t="shared" ref="D278:F278" si="22">D275+D269+D272+D266+D263+D260+D257</f>
        <v>0</v>
      </c>
      <c r="E278" s="219">
        <f t="shared" si="22"/>
        <v>0</v>
      </c>
      <c r="F278" s="219">
        <f t="shared" si="22"/>
        <v>0</v>
      </c>
    </row>
    <row r="279" spans="2:6" x14ac:dyDescent="0.25">
      <c r="B279" s="1015" t="s">
        <v>120</v>
      </c>
      <c r="C279" s="1036"/>
      <c r="D279" s="1037"/>
      <c r="E279" s="1037"/>
      <c r="F279" s="1038"/>
    </row>
    <row r="280" spans="2:6" x14ac:dyDescent="0.25">
      <c r="B280" s="1016"/>
      <c r="C280" s="1039"/>
      <c r="D280" s="1040"/>
      <c r="E280" s="1040"/>
      <c r="F280" s="1041"/>
    </row>
    <row r="281" spans="2:6" ht="15.75" thickBot="1" x14ac:dyDescent="0.3">
      <c r="B281" s="1017"/>
      <c r="C281" s="1042"/>
      <c r="D281" s="1043"/>
      <c r="E281" s="1043"/>
      <c r="F281" s="1044"/>
    </row>
    <row r="282" spans="2:6" ht="15.75" thickBot="1" x14ac:dyDescent="0.3">
      <c r="B282" s="166" t="s">
        <v>41</v>
      </c>
      <c r="C282" s="167">
        <f>IF(C278-C249=0,0,"Error")</f>
        <v>0</v>
      </c>
      <c r="D282" s="167">
        <f>IF(D278-D249=0,0,"Error")</f>
        <v>0</v>
      </c>
      <c r="E282" s="167">
        <f>IF(E278-E249=0,0,"Error")</f>
        <v>0</v>
      </c>
      <c r="F282" s="167">
        <f>IF(F278-F249=0,0,"Error")</f>
        <v>0</v>
      </c>
    </row>
    <row r="283" spans="2:6" ht="15.75" thickBot="1" x14ac:dyDescent="0.3">
      <c r="B283" s="989" t="s">
        <v>63</v>
      </c>
      <c r="C283" s="990"/>
      <c r="D283" s="990"/>
      <c r="E283" s="990"/>
      <c r="F283" s="991"/>
    </row>
    <row r="284" spans="2:6" ht="15.75" thickBot="1" x14ac:dyDescent="0.3">
      <c r="B284" s="989" t="s">
        <v>56</v>
      </c>
      <c r="C284" s="990"/>
      <c r="D284" s="990"/>
      <c r="E284" s="990"/>
      <c r="F284" s="991"/>
    </row>
    <row r="285" spans="2:6" ht="15.75" thickBot="1" x14ac:dyDescent="0.3">
      <c r="B285" s="67" t="s">
        <v>61</v>
      </c>
      <c r="C285" s="1009" t="s">
        <v>130</v>
      </c>
      <c r="D285" s="1010"/>
      <c r="E285" s="1010"/>
      <c r="F285" s="1011"/>
    </row>
    <row r="286" spans="2:6" ht="15.75" thickBot="1" x14ac:dyDescent="0.3">
      <c r="B286" s="160" t="s">
        <v>16</v>
      </c>
      <c r="C286" s="992" t="s">
        <v>106</v>
      </c>
      <c r="D286" s="993"/>
      <c r="E286" s="993"/>
      <c r="F286" s="994"/>
    </row>
    <row r="287" spans="2:6" ht="15.75" thickBot="1" x14ac:dyDescent="0.3">
      <c r="B287" s="62" t="s">
        <v>17</v>
      </c>
      <c r="C287" s="983" t="s">
        <v>106</v>
      </c>
      <c r="D287" s="984"/>
      <c r="E287" s="984"/>
      <c r="F287" s="985"/>
    </row>
    <row r="288" spans="2:6" ht="15.75" thickBot="1" x14ac:dyDescent="0.3">
      <c r="B288" s="62" t="s">
        <v>18</v>
      </c>
      <c r="C288" s="995" t="s">
        <v>106</v>
      </c>
      <c r="D288" s="996"/>
      <c r="E288" s="996"/>
      <c r="F288" s="997"/>
    </row>
    <row r="289" spans="2:6" x14ac:dyDescent="0.25">
      <c r="B289" s="998"/>
      <c r="C289" s="63">
        <v>2018</v>
      </c>
      <c r="D289" s="63">
        <v>2019</v>
      </c>
      <c r="E289" s="63">
        <v>2020</v>
      </c>
      <c r="F289" s="63">
        <v>2021</v>
      </c>
    </row>
    <row r="290" spans="2:6" ht="15.75" thickBot="1" x14ac:dyDescent="0.3">
      <c r="B290" s="999"/>
      <c r="C290" s="64" t="s">
        <v>10</v>
      </c>
      <c r="D290" s="64" t="s">
        <v>11</v>
      </c>
      <c r="E290" s="64" t="s">
        <v>11</v>
      </c>
      <c r="F290" s="64" t="s">
        <v>11</v>
      </c>
    </row>
    <row r="291" spans="2:6" ht="15.75" thickBot="1" x14ac:dyDescent="0.3">
      <c r="B291" s="62" t="s">
        <v>19</v>
      </c>
      <c r="C291" s="161"/>
      <c r="D291" s="161"/>
      <c r="E291" s="161"/>
      <c r="F291" s="161"/>
    </row>
    <row r="292" spans="2:6" ht="15.75" thickBot="1" x14ac:dyDescent="0.3">
      <c r="B292" s="62" t="s">
        <v>20</v>
      </c>
      <c r="C292" s="161"/>
      <c r="D292" s="161"/>
      <c r="E292" s="161"/>
      <c r="F292" s="161"/>
    </row>
    <row r="293" spans="2:6" ht="15.75" thickBot="1" x14ac:dyDescent="0.3">
      <c r="B293" s="62" t="s">
        <v>21</v>
      </c>
      <c r="C293" s="161" t="e">
        <f>C292/C291</f>
        <v>#DIV/0!</v>
      </c>
      <c r="D293" s="161" t="e">
        <f t="shared" ref="D293:F293" si="23">D292/D291</f>
        <v>#DIV/0!</v>
      </c>
      <c r="E293" s="161" t="e">
        <f t="shared" si="23"/>
        <v>#DIV/0!</v>
      </c>
      <c r="F293" s="161" t="e">
        <f t="shared" si="23"/>
        <v>#DIV/0!</v>
      </c>
    </row>
    <row r="294" spans="2:6" ht="15.75" thickBot="1" x14ac:dyDescent="0.3">
      <c r="B294" s="62" t="s">
        <v>22</v>
      </c>
      <c r="C294" s="636" t="s">
        <v>23</v>
      </c>
      <c r="D294" s="162" t="e">
        <f>D291/C291-1</f>
        <v>#DIV/0!</v>
      </c>
      <c r="E294" s="162" t="e">
        <f t="shared" ref="E294:F296" si="24">E291/D291-1</f>
        <v>#DIV/0!</v>
      </c>
      <c r="F294" s="162" t="e">
        <f t="shared" si="24"/>
        <v>#DIV/0!</v>
      </c>
    </row>
    <row r="295" spans="2:6" ht="15.75" thickBot="1" x14ac:dyDescent="0.3">
      <c r="B295" s="62" t="s">
        <v>24</v>
      </c>
      <c r="C295" s="636" t="s">
        <v>23</v>
      </c>
      <c r="D295" s="162" t="e">
        <f>D292/C292-1</f>
        <v>#DIV/0!</v>
      </c>
      <c r="E295" s="162" t="e">
        <f t="shared" si="24"/>
        <v>#DIV/0!</v>
      </c>
      <c r="F295" s="162" t="e">
        <f t="shared" si="24"/>
        <v>#DIV/0!</v>
      </c>
    </row>
    <row r="296" spans="2:6" ht="15.75" thickBot="1" x14ac:dyDescent="0.3">
      <c r="B296" s="62" t="s">
        <v>25</v>
      </c>
      <c r="C296" s="636" t="s">
        <v>23</v>
      </c>
      <c r="D296" s="162" t="e">
        <f>D293/C293-1</f>
        <v>#DIV/0!</v>
      </c>
      <c r="E296" s="162" t="e">
        <f t="shared" si="24"/>
        <v>#DIV/0!</v>
      </c>
      <c r="F296" s="162" t="e">
        <f t="shared" si="24"/>
        <v>#DIV/0!</v>
      </c>
    </row>
    <row r="297" spans="2:6" ht="15.75" thickBot="1" x14ac:dyDescent="0.3">
      <c r="B297" s="1000" t="s">
        <v>784</v>
      </c>
      <c r="C297" s="1001"/>
      <c r="D297" s="1001"/>
      <c r="E297" s="1001"/>
      <c r="F297" s="1002"/>
    </row>
    <row r="298" spans="2:6" x14ac:dyDescent="0.25">
      <c r="B298" s="998"/>
      <c r="C298" s="63">
        <v>2018</v>
      </c>
      <c r="D298" s="63">
        <v>2019</v>
      </c>
      <c r="E298" s="63">
        <v>2020</v>
      </c>
      <c r="F298" s="63">
        <v>2021</v>
      </c>
    </row>
    <row r="299" spans="2:6" ht="15.75" thickBot="1" x14ac:dyDescent="0.3">
      <c r="B299" s="999"/>
      <c r="C299" s="64" t="s">
        <v>10</v>
      </c>
      <c r="D299" s="64" t="s">
        <v>11</v>
      </c>
      <c r="E299" s="64" t="s">
        <v>11</v>
      </c>
      <c r="F299" s="64" t="s">
        <v>11</v>
      </c>
    </row>
    <row r="300" spans="2:6" ht="15.75" thickBot="1" x14ac:dyDescent="0.3">
      <c r="B300" s="65" t="s">
        <v>58</v>
      </c>
      <c r="C300" s="164"/>
      <c r="D300" s="164"/>
      <c r="E300" s="164"/>
      <c r="F300" s="164"/>
    </row>
    <row r="301" spans="2:6" ht="15.75" thickBot="1" x14ac:dyDescent="0.3">
      <c r="B301" s="65" t="s">
        <v>59</v>
      </c>
      <c r="C301" s="165"/>
      <c r="D301" s="164"/>
      <c r="E301" s="164"/>
      <c r="F301" s="164"/>
    </row>
    <row r="302" spans="2:6" ht="15.75" thickBot="1" x14ac:dyDescent="0.3">
      <c r="B302" s="66" t="s">
        <v>40</v>
      </c>
      <c r="C302" s="165">
        <f>C301+C300</f>
        <v>0</v>
      </c>
      <c r="D302" s="165">
        <f t="shared" ref="D302:F302" si="25">D301+D300</f>
        <v>0</v>
      </c>
      <c r="E302" s="165">
        <f t="shared" si="25"/>
        <v>0</v>
      </c>
      <c r="F302" s="165">
        <f t="shared" si="25"/>
        <v>0</v>
      </c>
    </row>
    <row r="303" spans="2:6" x14ac:dyDescent="0.25">
      <c r="B303" s="1015" t="s">
        <v>60</v>
      </c>
      <c r="C303" s="1036"/>
      <c r="D303" s="1037"/>
      <c r="E303" s="1037"/>
      <c r="F303" s="1038"/>
    </row>
    <row r="304" spans="2:6" x14ac:dyDescent="0.25">
      <c r="B304" s="1016"/>
      <c r="C304" s="1039"/>
      <c r="D304" s="1040"/>
      <c r="E304" s="1040"/>
      <c r="F304" s="1041"/>
    </row>
    <row r="305" spans="2:6" ht="15.75" thickBot="1" x14ac:dyDescent="0.3">
      <c r="B305" s="1017"/>
      <c r="C305" s="1042"/>
      <c r="D305" s="1043"/>
      <c r="E305" s="1043"/>
      <c r="F305" s="1044"/>
    </row>
    <row r="306" spans="2:6" ht="15.75" thickBot="1" x14ac:dyDescent="0.3">
      <c r="B306" s="67" t="s">
        <v>61</v>
      </c>
      <c r="C306" s="1009" t="s">
        <v>130</v>
      </c>
      <c r="D306" s="1010"/>
      <c r="E306" s="1010"/>
      <c r="F306" s="1011"/>
    </row>
    <row r="307" spans="2:6" ht="15.75" thickBot="1" x14ac:dyDescent="0.3">
      <c r="B307" s="160" t="s">
        <v>129</v>
      </c>
      <c r="C307" s="992" t="s">
        <v>106</v>
      </c>
      <c r="D307" s="993"/>
      <c r="E307" s="993"/>
      <c r="F307" s="994"/>
    </row>
    <row r="308" spans="2:6" ht="15.75" thickBot="1" x14ac:dyDescent="0.3">
      <c r="B308" s="62" t="s">
        <v>17</v>
      </c>
      <c r="C308" s="983" t="s">
        <v>106</v>
      </c>
      <c r="D308" s="984"/>
      <c r="E308" s="984"/>
      <c r="F308" s="985"/>
    </row>
    <row r="309" spans="2:6" ht="15.75" thickBot="1" x14ac:dyDescent="0.3">
      <c r="B309" s="62" t="s">
        <v>18</v>
      </c>
      <c r="C309" s="995" t="s">
        <v>106</v>
      </c>
      <c r="D309" s="996"/>
      <c r="E309" s="996"/>
      <c r="F309" s="997"/>
    </row>
    <row r="310" spans="2:6" x14ac:dyDescent="0.25">
      <c r="B310" s="998"/>
      <c r="C310" s="63">
        <v>2018</v>
      </c>
      <c r="D310" s="63">
        <v>2019</v>
      </c>
      <c r="E310" s="63">
        <v>2020</v>
      </c>
      <c r="F310" s="63">
        <v>2021</v>
      </c>
    </row>
    <row r="311" spans="2:6" ht="15.75" thickBot="1" x14ac:dyDescent="0.3">
      <c r="B311" s="999"/>
      <c r="C311" s="64" t="s">
        <v>10</v>
      </c>
      <c r="D311" s="64" t="s">
        <v>11</v>
      </c>
      <c r="E311" s="64" t="s">
        <v>11</v>
      </c>
      <c r="F311" s="64" t="s">
        <v>11</v>
      </c>
    </row>
    <row r="312" spans="2:6" ht="15.75" thickBot="1" x14ac:dyDescent="0.3">
      <c r="B312" s="62" t="s">
        <v>19</v>
      </c>
      <c r="C312" s="161"/>
      <c r="D312" s="161"/>
      <c r="E312" s="161"/>
      <c r="F312" s="161"/>
    </row>
    <row r="313" spans="2:6" ht="15.75" thickBot="1" x14ac:dyDescent="0.3">
      <c r="B313" s="62" t="s">
        <v>20</v>
      </c>
      <c r="C313" s="161"/>
      <c r="D313" s="161"/>
      <c r="E313" s="161"/>
      <c r="F313" s="161"/>
    </row>
    <row r="314" spans="2:6" ht="15.75" thickBot="1" x14ac:dyDescent="0.3">
      <c r="B314" s="62" t="s">
        <v>21</v>
      </c>
      <c r="C314" s="161" t="e">
        <f>C313/C312</f>
        <v>#DIV/0!</v>
      </c>
      <c r="D314" s="161" t="e">
        <f t="shared" ref="D314:F314" si="26">D313/D312</f>
        <v>#DIV/0!</v>
      </c>
      <c r="E314" s="161" t="e">
        <f t="shared" si="26"/>
        <v>#DIV/0!</v>
      </c>
      <c r="F314" s="161" t="e">
        <f t="shared" si="26"/>
        <v>#DIV/0!</v>
      </c>
    </row>
    <row r="315" spans="2:6" ht="15.75" thickBot="1" x14ac:dyDescent="0.3">
      <c r="B315" s="62" t="s">
        <v>22</v>
      </c>
      <c r="C315" s="636" t="s">
        <v>23</v>
      </c>
      <c r="D315" s="162" t="e">
        <f>D312/C312-1</f>
        <v>#DIV/0!</v>
      </c>
      <c r="E315" s="162" t="e">
        <f t="shared" ref="E315:F317" si="27">E312/D312-1</f>
        <v>#DIV/0!</v>
      </c>
      <c r="F315" s="162" t="e">
        <f t="shared" si="27"/>
        <v>#DIV/0!</v>
      </c>
    </row>
    <row r="316" spans="2:6" ht="15.75" thickBot="1" x14ac:dyDescent="0.3">
      <c r="B316" s="62" t="s">
        <v>24</v>
      </c>
      <c r="C316" s="636" t="s">
        <v>23</v>
      </c>
      <c r="D316" s="162" t="e">
        <f>D313/C313-1</f>
        <v>#DIV/0!</v>
      </c>
      <c r="E316" s="162" t="e">
        <f t="shared" si="27"/>
        <v>#DIV/0!</v>
      </c>
      <c r="F316" s="162" t="e">
        <f t="shared" si="27"/>
        <v>#DIV/0!</v>
      </c>
    </row>
    <row r="317" spans="2:6" ht="15.75" thickBot="1" x14ac:dyDescent="0.3">
      <c r="B317" s="62" t="s">
        <v>25</v>
      </c>
      <c r="C317" s="636" t="s">
        <v>23</v>
      </c>
      <c r="D317" s="162" t="e">
        <f>D314/C314-1</f>
        <v>#DIV/0!</v>
      </c>
      <c r="E317" s="162" t="e">
        <f t="shared" si="27"/>
        <v>#DIV/0!</v>
      </c>
      <c r="F317" s="162" t="e">
        <f t="shared" si="27"/>
        <v>#DIV/0!</v>
      </c>
    </row>
    <row r="318" spans="2:6" ht="15.75" thickBot="1" x14ac:dyDescent="0.3">
      <c r="B318" s="1000" t="s">
        <v>793</v>
      </c>
      <c r="C318" s="1001"/>
      <c r="D318" s="1001"/>
      <c r="E318" s="1001"/>
      <c r="F318" s="1002"/>
    </row>
    <row r="319" spans="2:6" x14ac:dyDescent="0.25">
      <c r="B319" s="998"/>
      <c r="C319" s="63">
        <v>2018</v>
      </c>
      <c r="D319" s="63">
        <v>2019</v>
      </c>
      <c r="E319" s="63">
        <v>2020</v>
      </c>
      <c r="F319" s="63">
        <v>2021</v>
      </c>
    </row>
    <row r="320" spans="2:6" ht="15.75" thickBot="1" x14ac:dyDescent="0.3">
      <c r="B320" s="999"/>
      <c r="C320" s="64" t="s">
        <v>10</v>
      </c>
      <c r="D320" s="64" t="s">
        <v>11</v>
      </c>
      <c r="E320" s="64" t="s">
        <v>11</v>
      </c>
      <c r="F320" s="64" t="s">
        <v>11</v>
      </c>
    </row>
    <row r="321" spans="2:6" ht="15.75" thickBot="1" x14ac:dyDescent="0.3">
      <c r="B321" s="65" t="s">
        <v>58</v>
      </c>
      <c r="C321" s="164"/>
      <c r="D321" s="164"/>
      <c r="E321" s="164"/>
      <c r="F321" s="164"/>
    </row>
    <row r="322" spans="2:6" ht="15.75" thickBot="1" x14ac:dyDescent="0.3">
      <c r="B322" s="65" t="s">
        <v>59</v>
      </c>
      <c r="C322" s="165"/>
      <c r="D322" s="164"/>
      <c r="E322" s="164"/>
      <c r="F322" s="164"/>
    </row>
    <row r="323" spans="2:6" ht="15.75" thickBot="1" x14ac:dyDescent="0.3">
      <c r="B323" s="66" t="s">
        <v>74</v>
      </c>
      <c r="C323" s="165">
        <f>C322+C321</f>
        <v>0</v>
      </c>
      <c r="D323" s="165">
        <f t="shared" ref="D323:F323" si="28">D322+D321</f>
        <v>0</v>
      </c>
      <c r="E323" s="165">
        <f t="shared" si="28"/>
        <v>0</v>
      </c>
      <c r="F323" s="165">
        <f t="shared" si="28"/>
        <v>0</v>
      </c>
    </row>
    <row r="324" spans="2:6" x14ac:dyDescent="0.25">
      <c r="B324" s="1015" t="s">
        <v>62</v>
      </c>
      <c r="C324" s="1036"/>
      <c r="D324" s="1037"/>
      <c r="E324" s="1037"/>
      <c r="F324" s="1038"/>
    </row>
    <row r="325" spans="2:6" x14ac:dyDescent="0.25">
      <c r="B325" s="1016"/>
      <c r="C325" s="1039"/>
      <c r="D325" s="1040"/>
      <c r="E325" s="1040"/>
      <c r="F325" s="1041"/>
    </row>
    <row r="326" spans="2:6" ht="15.75" thickBot="1" x14ac:dyDescent="0.3">
      <c r="B326" s="1017"/>
      <c r="C326" s="1042"/>
      <c r="D326" s="1043"/>
      <c r="E326" s="1043"/>
      <c r="F326" s="1044"/>
    </row>
    <row r="327" spans="2:6" ht="15.75" thickBot="1" x14ac:dyDescent="0.3">
      <c r="B327" s="989" t="s">
        <v>63</v>
      </c>
      <c r="C327" s="990"/>
      <c r="D327" s="990"/>
      <c r="E327" s="990"/>
      <c r="F327" s="991"/>
    </row>
    <row r="328" spans="2:6" ht="15.75" thickBot="1" x14ac:dyDescent="0.3">
      <c r="B328" s="989" t="s">
        <v>64</v>
      </c>
      <c r="C328" s="990"/>
      <c r="D328" s="990"/>
      <c r="E328" s="990"/>
      <c r="F328" s="991"/>
    </row>
    <row r="329" spans="2:6" ht="15.75" thickBot="1" x14ac:dyDescent="0.3">
      <c r="B329" s="67" t="s">
        <v>61</v>
      </c>
      <c r="C329" s="1009" t="s">
        <v>130</v>
      </c>
      <c r="D329" s="1010"/>
      <c r="E329" s="1010"/>
      <c r="F329" s="1011"/>
    </row>
    <row r="330" spans="2:6" ht="15.75" thickBot="1" x14ac:dyDescent="0.3">
      <c r="B330" s="160" t="s">
        <v>16</v>
      </c>
      <c r="C330" s="992" t="s">
        <v>106</v>
      </c>
      <c r="D330" s="993"/>
      <c r="E330" s="993"/>
      <c r="F330" s="994"/>
    </row>
    <row r="331" spans="2:6" ht="15.75" thickBot="1" x14ac:dyDescent="0.3">
      <c r="B331" s="62" t="s">
        <v>17</v>
      </c>
      <c r="C331" s="983" t="s">
        <v>106</v>
      </c>
      <c r="D331" s="984"/>
      <c r="E331" s="984"/>
      <c r="F331" s="985"/>
    </row>
    <row r="332" spans="2:6" ht="15.75" thickBot="1" x14ac:dyDescent="0.3">
      <c r="B332" s="62" t="s">
        <v>18</v>
      </c>
      <c r="C332" s="995" t="s">
        <v>106</v>
      </c>
      <c r="D332" s="996"/>
      <c r="E332" s="996"/>
      <c r="F332" s="997"/>
    </row>
    <row r="333" spans="2:6" x14ac:dyDescent="0.25">
      <c r="B333" s="998"/>
      <c r="C333" s="63">
        <v>2018</v>
      </c>
      <c r="D333" s="63">
        <v>2019</v>
      </c>
      <c r="E333" s="63">
        <v>2020</v>
      </c>
      <c r="F333" s="63">
        <v>2021</v>
      </c>
    </row>
    <row r="334" spans="2:6" ht="15.75" thickBot="1" x14ac:dyDescent="0.3">
      <c r="B334" s="999"/>
      <c r="C334" s="64" t="s">
        <v>10</v>
      </c>
      <c r="D334" s="64" t="s">
        <v>11</v>
      </c>
      <c r="E334" s="64" t="s">
        <v>11</v>
      </c>
      <c r="F334" s="64" t="s">
        <v>11</v>
      </c>
    </row>
    <row r="335" spans="2:6" ht="15.75" thickBot="1" x14ac:dyDescent="0.3">
      <c r="B335" s="62" t="s">
        <v>19</v>
      </c>
      <c r="C335" s="161"/>
      <c r="D335" s="161"/>
      <c r="E335" s="161"/>
      <c r="F335" s="161"/>
    </row>
    <row r="336" spans="2:6" ht="15.75" thickBot="1" x14ac:dyDescent="0.3">
      <c r="B336" s="62" t="s">
        <v>20</v>
      </c>
      <c r="C336" s="161"/>
      <c r="D336" s="161"/>
      <c r="E336" s="161"/>
      <c r="F336" s="161"/>
    </row>
    <row r="337" spans="2:6" ht="15.75" thickBot="1" x14ac:dyDescent="0.3">
      <c r="B337" s="62" t="s">
        <v>21</v>
      </c>
      <c r="C337" s="161" t="e">
        <f>C336/C335</f>
        <v>#DIV/0!</v>
      </c>
      <c r="D337" s="161" t="e">
        <f t="shared" ref="D337:F337" si="29">D336/D335</f>
        <v>#DIV/0!</v>
      </c>
      <c r="E337" s="161" t="e">
        <f t="shared" si="29"/>
        <v>#DIV/0!</v>
      </c>
      <c r="F337" s="161" t="e">
        <f t="shared" si="29"/>
        <v>#DIV/0!</v>
      </c>
    </row>
    <row r="338" spans="2:6" ht="15.75" thickBot="1" x14ac:dyDescent="0.3">
      <c r="B338" s="62" t="s">
        <v>22</v>
      </c>
      <c r="C338" s="636" t="s">
        <v>23</v>
      </c>
      <c r="D338" s="162" t="e">
        <f>D335/C335-1</f>
        <v>#DIV/0!</v>
      </c>
      <c r="E338" s="162" t="e">
        <f t="shared" ref="E338:F340" si="30">E335/D335-1</f>
        <v>#DIV/0!</v>
      </c>
      <c r="F338" s="162" t="e">
        <f t="shared" si="30"/>
        <v>#DIV/0!</v>
      </c>
    </row>
    <row r="339" spans="2:6" ht="15.75" thickBot="1" x14ac:dyDescent="0.3">
      <c r="B339" s="62" t="s">
        <v>24</v>
      </c>
      <c r="C339" s="636" t="s">
        <v>23</v>
      </c>
      <c r="D339" s="162" t="e">
        <f>D336/C336-1</f>
        <v>#DIV/0!</v>
      </c>
      <c r="E339" s="162" t="e">
        <f t="shared" si="30"/>
        <v>#DIV/0!</v>
      </c>
      <c r="F339" s="162" t="e">
        <f t="shared" si="30"/>
        <v>#DIV/0!</v>
      </c>
    </row>
    <row r="340" spans="2:6" ht="15.75" thickBot="1" x14ac:dyDescent="0.3">
      <c r="B340" s="62" t="s">
        <v>25</v>
      </c>
      <c r="C340" s="636" t="s">
        <v>23</v>
      </c>
      <c r="D340" s="162" t="e">
        <f>D337/C337-1</f>
        <v>#DIV/0!</v>
      </c>
      <c r="E340" s="162" t="e">
        <f t="shared" si="30"/>
        <v>#DIV/0!</v>
      </c>
      <c r="F340" s="162" t="e">
        <f t="shared" si="30"/>
        <v>#DIV/0!</v>
      </c>
    </row>
    <row r="341" spans="2:6" ht="15.75" thickBot="1" x14ac:dyDescent="0.3">
      <c r="B341" s="1000" t="s">
        <v>784</v>
      </c>
      <c r="C341" s="1001"/>
      <c r="D341" s="1001"/>
      <c r="E341" s="1001"/>
      <c r="F341" s="1002"/>
    </row>
    <row r="342" spans="2:6" x14ac:dyDescent="0.25">
      <c r="B342" s="998"/>
      <c r="C342" s="63">
        <v>2018</v>
      </c>
      <c r="D342" s="63">
        <v>2019</v>
      </c>
      <c r="E342" s="63">
        <v>2020</v>
      </c>
      <c r="F342" s="63">
        <v>2021</v>
      </c>
    </row>
    <row r="343" spans="2:6" ht="15.75" thickBot="1" x14ac:dyDescent="0.3">
      <c r="B343" s="999"/>
      <c r="C343" s="64" t="s">
        <v>10</v>
      </c>
      <c r="D343" s="64" t="s">
        <v>11</v>
      </c>
      <c r="E343" s="64" t="s">
        <v>11</v>
      </c>
      <c r="F343" s="64" t="s">
        <v>11</v>
      </c>
    </row>
    <row r="344" spans="2:6" ht="15.75" thickBot="1" x14ac:dyDescent="0.3">
      <c r="B344" s="65" t="s">
        <v>58</v>
      </c>
      <c r="C344" s="164"/>
      <c r="D344" s="164"/>
      <c r="E344" s="164"/>
      <c r="F344" s="164"/>
    </row>
    <row r="345" spans="2:6" ht="15.75" thickBot="1" x14ac:dyDescent="0.3">
      <c r="B345" s="65" t="s">
        <v>59</v>
      </c>
      <c r="C345" s="165"/>
      <c r="D345" s="164"/>
      <c r="E345" s="164"/>
      <c r="F345" s="164"/>
    </row>
    <row r="346" spans="2:6" ht="15.75" thickBot="1" x14ac:dyDescent="0.3">
      <c r="B346" s="66" t="s">
        <v>40</v>
      </c>
      <c r="C346" s="165">
        <f>C345+C344</f>
        <v>0</v>
      </c>
      <c r="D346" s="165">
        <f t="shared" ref="D346:F346" si="31">D345+D344</f>
        <v>0</v>
      </c>
      <c r="E346" s="165">
        <f t="shared" si="31"/>
        <v>0</v>
      </c>
      <c r="F346" s="165">
        <f t="shared" si="31"/>
        <v>0</v>
      </c>
    </row>
    <row r="347" spans="2:6" x14ac:dyDescent="0.25">
      <c r="B347" s="1015" t="s">
        <v>60</v>
      </c>
      <c r="C347" s="1036"/>
      <c r="D347" s="1037"/>
      <c r="E347" s="1037"/>
      <c r="F347" s="1038"/>
    </row>
    <row r="348" spans="2:6" x14ac:dyDescent="0.25">
      <c r="B348" s="1016"/>
      <c r="C348" s="1039"/>
      <c r="D348" s="1040"/>
      <c r="E348" s="1040"/>
      <c r="F348" s="1041"/>
    </row>
    <row r="349" spans="2:6" ht="15.75" thickBot="1" x14ac:dyDescent="0.3">
      <c r="B349" s="1017"/>
      <c r="C349" s="1042"/>
      <c r="D349" s="1043"/>
      <c r="E349" s="1043"/>
      <c r="F349" s="1044"/>
    </row>
    <row r="350" spans="2:6" ht="15.75" thickBot="1" x14ac:dyDescent="0.3">
      <c r="B350" s="67" t="s">
        <v>61</v>
      </c>
      <c r="C350" s="1009" t="s">
        <v>130</v>
      </c>
      <c r="D350" s="1010"/>
      <c r="E350" s="1010"/>
      <c r="F350" s="1011"/>
    </row>
    <row r="351" spans="2:6" ht="15.75" thickBot="1" x14ac:dyDescent="0.3">
      <c r="B351" s="160" t="s">
        <v>129</v>
      </c>
      <c r="C351" s="992" t="s">
        <v>106</v>
      </c>
      <c r="D351" s="993"/>
      <c r="E351" s="993"/>
      <c r="F351" s="994"/>
    </row>
    <row r="352" spans="2:6" ht="15.75" thickBot="1" x14ac:dyDescent="0.3">
      <c r="B352" s="62" t="s">
        <v>17</v>
      </c>
      <c r="C352" s="983" t="s">
        <v>106</v>
      </c>
      <c r="D352" s="984"/>
      <c r="E352" s="984"/>
      <c r="F352" s="985"/>
    </row>
    <row r="353" spans="2:6" ht="15.75" thickBot="1" x14ac:dyDescent="0.3">
      <c r="B353" s="62" t="s">
        <v>18</v>
      </c>
      <c r="C353" s="995" t="s">
        <v>106</v>
      </c>
      <c r="D353" s="996"/>
      <c r="E353" s="996"/>
      <c r="F353" s="997"/>
    </row>
    <row r="354" spans="2:6" x14ac:dyDescent="0.25">
      <c r="B354" s="998"/>
      <c r="C354" s="63">
        <v>2018</v>
      </c>
      <c r="D354" s="63">
        <v>2019</v>
      </c>
      <c r="E354" s="63">
        <v>2020</v>
      </c>
      <c r="F354" s="63">
        <v>2021</v>
      </c>
    </row>
    <row r="355" spans="2:6" ht="15.75" thickBot="1" x14ac:dyDescent="0.3">
      <c r="B355" s="999"/>
      <c r="C355" s="64" t="s">
        <v>10</v>
      </c>
      <c r="D355" s="64" t="s">
        <v>11</v>
      </c>
      <c r="E355" s="64" t="s">
        <v>11</v>
      </c>
      <c r="F355" s="64" t="s">
        <v>11</v>
      </c>
    </row>
    <row r="356" spans="2:6" ht="15.75" thickBot="1" x14ac:dyDescent="0.3">
      <c r="B356" s="62" t="s">
        <v>19</v>
      </c>
      <c r="C356" s="161"/>
      <c r="D356" s="161"/>
      <c r="E356" s="161"/>
      <c r="F356" s="161"/>
    </row>
    <row r="357" spans="2:6" ht="15.75" thickBot="1" x14ac:dyDescent="0.3">
      <c r="B357" s="62" t="s">
        <v>20</v>
      </c>
      <c r="C357" s="161"/>
      <c r="D357" s="161"/>
      <c r="E357" s="161"/>
      <c r="F357" s="161"/>
    </row>
    <row r="358" spans="2:6" ht="15.75" thickBot="1" x14ac:dyDescent="0.3">
      <c r="B358" s="62" t="s">
        <v>21</v>
      </c>
      <c r="C358" s="161" t="e">
        <f>C357/C356</f>
        <v>#DIV/0!</v>
      </c>
      <c r="D358" s="161" t="e">
        <f t="shared" ref="D358:F358" si="32">D357/D356</f>
        <v>#DIV/0!</v>
      </c>
      <c r="E358" s="161" t="e">
        <f t="shared" si="32"/>
        <v>#DIV/0!</v>
      </c>
      <c r="F358" s="161" t="e">
        <f t="shared" si="32"/>
        <v>#DIV/0!</v>
      </c>
    </row>
    <row r="359" spans="2:6" ht="15.75" thickBot="1" x14ac:dyDescent="0.3">
      <c r="B359" s="62" t="s">
        <v>22</v>
      </c>
      <c r="C359" s="636" t="s">
        <v>23</v>
      </c>
      <c r="D359" s="162" t="e">
        <f>D356/C356-1</f>
        <v>#DIV/0!</v>
      </c>
      <c r="E359" s="162" t="e">
        <f t="shared" ref="E359:F361" si="33">E356/D356-1</f>
        <v>#DIV/0!</v>
      </c>
      <c r="F359" s="162" t="e">
        <f t="shared" si="33"/>
        <v>#DIV/0!</v>
      </c>
    </row>
    <row r="360" spans="2:6" ht="15.75" thickBot="1" x14ac:dyDescent="0.3">
      <c r="B360" s="62" t="s">
        <v>24</v>
      </c>
      <c r="C360" s="636" t="s">
        <v>23</v>
      </c>
      <c r="D360" s="162" t="e">
        <f>D357/C357-1</f>
        <v>#DIV/0!</v>
      </c>
      <c r="E360" s="162" t="e">
        <f t="shared" si="33"/>
        <v>#DIV/0!</v>
      </c>
      <c r="F360" s="162" t="e">
        <f t="shared" si="33"/>
        <v>#DIV/0!</v>
      </c>
    </row>
    <row r="361" spans="2:6" ht="15.75" thickBot="1" x14ac:dyDescent="0.3">
      <c r="B361" s="62" t="s">
        <v>25</v>
      </c>
      <c r="C361" s="636" t="s">
        <v>23</v>
      </c>
      <c r="D361" s="162" t="e">
        <f>D358/C358-1</f>
        <v>#DIV/0!</v>
      </c>
      <c r="E361" s="162" t="e">
        <f t="shared" si="33"/>
        <v>#DIV/0!</v>
      </c>
      <c r="F361" s="162" t="e">
        <f t="shared" si="33"/>
        <v>#DIV/0!</v>
      </c>
    </row>
    <row r="362" spans="2:6" ht="15.75" thickBot="1" x14ac:dyDescent="0.3">
      <c r="B362" s="1000" t="s">
        <v>793</v>
      </c>
      <c r="C362" s="1001"/>
      <c r="D362" s="1001"/>
      <c r="E362" s="1001"/>
      <c r="F362" s="1002"/>
    </row>
    <row r="363" spans="2:6" x14ac:dyDescent="0.25">
      <c r="B363" s="998"/>
      <c r="C363" s="63">
        <v>2018</v>
      </c>
      <c r="D363" s="63">
        <v>2019</v>
      </c>
      <c r="E363" s="63">
        <v>2020</v>
      </c>
      <c r="F363" s="63">
        <v>2021</v>
      </c>
    </row>
    <row r="364" spans="2:6" ht="15.75" thickBot="1" x14ac:dyDescent="0.3">
      <c r="B364" s="999"/>
      <c r="C364" s="64" t="s">
        <v>10</v>
      </c>
      <c r="D364" s="64" t="s">
        <v>11</v>
      </c>
      <c r="E364" s="64" t="s">
        <v>11</v>
      </c>
      <c r="F364" s="64" t="s">
        <v>11</v>
      </c>
    </row>
    <row r="365" spans="2:6" ht="15.75" thickBot="1" x14ac:dyDescent="0.3">
      <c r="B365" s="65" t="s">
        <v>58</v>
      </c>
      <c r="C365" s="164"/>
      <c r="D365" s="164"/>
      <c r="E365" s="164"/>
      <c r="F365" s="164"/>
    </row>
    <row r="366" spans="2:6" ht="15.75" thickBot="1" x14ac:dyDescent="0.3">
      <c r="B366" s="65" t="s">
        <v>59</v>
      </c>
      <c r="C366" s="165"/>
      <c r="D366" s="164"/>
      <c r="E366" s="164"/>
      <c r="F366" s="164"/>
    </row>
    <row r="367" spans="2:6" ht="15.75" thickBot="1" x14ac:dyDescent="0.3">
      <c r="B367" s="66" t="s">
        <v>74</v>
      </c>
      <c r="C367" s="165">
        <f>C366+C365</f>
        <v>0</v>
      </c>
      <c r="D367" s="165">
        <f t="shared" ref="D367:F367" si="34">D366+D365</f>
        <v>0</v>
      </c>
      <c r="E367" s="165">
        <f t="shared" si="34"/>
        <v>0</v>
      </c>
      <c r="F367" s="165">
        <f t="shared" si="34"/>
        <v>0</v>
      </c>
    </row>
    <row r="368" spans="2:6" x14ac:dyDescent="0.25">
      <c r="B368" s="1015" t="s">
        <v>62</v>
      </c>
      <c r="C368" s="1036"/>
      <c r="D368" s="1037"/>
      <c r="E368" s="1037"/>
      <c r="F368" s="1038"/>
    </row>
    <row r="369" spans="2:6" x14ac:dyDescent="0.25">
      <c r="B369" s="1016"/>
      <c r="C369" s="1039"/>
      <c r="D369" s="1040"/>
      <c r="E369" s="1040"/>
      <c r="F369" s="1041"/>
    </row>
    <row r="370" spans="2:6" ht="15.75" thickBot="1" x14ac:dyDescent="0.3">
      <c r="B370" s="1017"/>
      <c r="C370" s="1042"/>
      <c r="D370" s="1043"/>
      <c r="E370" s="1043"/>
      <c r="F370" s="1044"/>
    </row>
    <row r="371" spans="2:6" ht="15.75" thickBot="1" x14ac:dyDescent="0.3">
      <c r="B371" s="175"/>
      <c r="C371" s="176"/>
      <c r="D371" s="176"/>
      <c r="E371" s="176"/>
      <c r="F371" s="176"/>
    </row>
    <row r="372" spans="2:6" ht="30.75" thickBot="1" x14ac:dyDescent="0.3">
      <c r="B372" s="158" t="s">
        <v>82</v>
      </c>
      <c r="C372" s="177">
        <f>C357+C336+C313+C292+C249+C207+C178+C157+C134+C113+C70+C30</f>
        <v>73150</v>
      </c>
      <c r="D372" s="177">
        <f t="shared" ref="D372:F372" si="35">D357+D336+D313+D292+D249+D207+D178+D157+D134+D113+D70+D30</f>
        <v>73300</v>
      </c>
      <c r="E372" s="177">
        <f t="shared" si="35"/>
        <v>73800</v>
      </c>
      <c r="F372" s="177">
        <f t="shared" si="35"/>
        <v>73800</v>
      </c>
    </row>
    <row r="373" spans="2:6" ht="30.75" thickBot="1" x14ac:dyDescent="0.3">
      <c r="B373" s="158" t="s">
        <v>83</v>
      </c>
      <c r="C373" s="177">
        <f>C375+C377+C379+C381+C383+C385+C387+C389+C391</f>
        <v>73150</v>
      </c>
      <c r="D373" s="177">
        <f>D375+D377+D379+D381+D383+D385+D387+D389+D391</f>
        <v>73300</v>
      </c>
      <c r="E373" s="177">
        <f>E375+E377+E379+E381+E383+E385+E387+E389+E391</f>
        <v>73800</v>
      </c>
      <c r="F373" s="177">
        <f>F375+F377+F379+F381+F383+F385+F387+F389+F391</f>
        <v>73800</v>
      </c>
    </row>
    <row r="374" spans="2:6" ht="30.75" thickBot="1" x14ac:dyDescent="0.3">
      <c r="B374" s="178" t="s">
        <v>84</v>
      </c>
      <c r="C374" s="179"/>
      <c r="D374" s="180">
        <f>D373/C373-1</f>
        <v>2.0505809979494138E-3</v>
      </c>
      <c r="E374" s="180">
        <f t="shared" ref="E374:F374" si="36">E373/D373-1</f>
        <v>6.8212824010913664E-3</v>
      </c>
      <c r="F374" s="180">
        <f t="shared" si="36"/>
        <v>0</v>
      </c>
    </row>
    <row r="375" spans="2:6" ht="15.75" thickBot="1" x14ac:dyDescent="0.3">
      <c r="B375" s="65" t="s">
        <v>26</v>
      </c>
      <c r="C375" s="164">
        <f>C257+C217+C78+C38</f>
        <v>28350</v>
      </c>
      <c r="D375" s="164">
        <f>D257+D217+D78+D38</f>
        <v>28350</v>
      </c>
      <c r="E375" s="164">
        <f>E257+E217+E78+E38</f>
        <v>28350</v>
      </c>
      <c r="F375" s="164">
        <f>F257+F217+F78+F38</f>
        <v>28350</v>
      </c>
    </row>
    <row r="376" spans="2:6" ht="15.75" thickBot="1" x14ac:dyDescent="0.3">
      <c r="B376" s="181" t="s">
        <v>85</v>
      </c>
      <c r="C376" s="165"/>
      <c r="D376" s="182">
        <f>D375/C375-1</f>
        <v>0</v>
      </c>
      <c r="E376" s="182">
        <f t="shared" ref="E376:F376" si="37">E375/D375-1</f>
        <v>0</v>
      </c>
      <c r="F376" s="182">
        <f t="shared" si="37"/>
        <v>0</v>
      </c>
    </row>
    <row r="377" spans="2:6" ht="15.75" thickBot="1" x14ac:dyDescent="0.3">
      <c r="B377" s="65" t="s">
        <v>28</v>
      </c>
      <c r="C377" s="164">
        <f>C260+C220+C81+C41</f>
        <v>4600</v>
      </c>
      <c r="D377" s="164">
        <f>D260+D220+D81+D41</f>
        <v>4600</v>
      </c>
      <c r="E377" s="164">
        <f>E260+E220+E81+E41</f>
        <v>4600</v>
      </c>
      <c r="F377" s="164">
        <f>F260+F220+F81+F41</f>
        <v>4600</v>
      </c>
    </row>
    <row r="378" spans="2:6" ht="15.75" thickBot="1" x14ac:dyDescent="0.3">
      <c r="B378" s="181" t="s">
        <v>86</v>
      </c>
      <c r="C378" s="165"/>
      <c r="D378" s="182">
        <f>D377/C377-1</f>
        <v>0</v>
      </c>
      <c r="E378" s="182">
        <f t="shared" ref="E378:F378" si="38">E377/D377-1</f>
        <v>0</v>
      </c>
      <c r="F378" s="182">
        <f t="shared" si="38"/>
        <v>0</v>
      </c>
    </row>
    <row r="379" spans="2:6" ht="15.75" thickBot="1" x14ac:dyDescent="0.3">
      <c r="B379" s="65" t="s">
        <v>30</v>
      </c>
      <c r="C379" s="164">
        <f>C263+C223+C84+C44</f>
        <v>34200</v>
      </c>
      <c r="D379" s="164">
        <f>D263+D223+D84+D44</f>
        <v>34350</v>
      </c>
      <c r="E379" s="164">
        <f>E263+E223+E84+E44</f>
        <v>34850</v>
      </c>
      <c r="F379" s="164">
        <f>F263+F223+F84+F44</f>
        <v>34850</v>
      </c>
    </row>
    <row r="380" spans="2:6" ht="15.75" thickBot="1" x14ac:dyDescent="0.3">
      <c r="B380" s="181" t="s">
        <v>87</v>
      </c>
      <c r="C380" s="165"/>
      <c r="D380" s="182">
        <f>D379/C379-1</f>
        <v>4.3859649122806044E-3</v>
      </c>
      <c r="E380" s="182">
        <f t="shared" ref="E380:F380" si="39">E379/D379-1</f>
        <v>1.4556040756914079E-2</v>
      </c>
      <c r="F380" s="182">
        <f t="shared" si="39"/>
        <v>0</v>
      </c>
    </row>
    <row r="381" spans="2:6" ht="15.75" thickBot="1" x14ac:dyDescent="0.3">
      <c r="B381" s="65" t="s">
        <v>32</v>
      </c>
      <c r="C381" s="164">
        <f>C266+C226+C87+C47</f>
        <v>0</v>
      </c>
      <c r="D381" s="164">
        <f>D266+D226+D87+D47</f>
        <v>0</v>
      </c>
      <c r="E381" s="164">
        <f>E266+E226+E87+E47</f>
        <v>0</v>
      </c>
      <c r="F381" s="164">
        <f>F266+F226+F87+F47</f>
        <v>0</v>
      </c>
    </row>
    <row r="382" spans="2:6" ht="15.75" thickBot="1" x14ac:dyDescent="0.3">
      <c r="B382" s="181" t="s">
        <v>88</v>
      </c>
      <c r="C382" s="165"/>
      <c r="D382" s="182" t="e">
        <f>D381/C381-1</f>
        <v>#DIV/0!</v>
      </c>
      <c r="E382" s="182" t="e">
        <f t="shared" ref="E382:F382" si="40">E381/D381-1</f>
        <v>#DIV/0!</v>
      </c>
      <c r="F382" s="182" t="e">
        <f t="shared" si="40"/>
        <v>#DIV/0!</v>
      </c>
    </row>
    <row r="383" spans="2:6" ht="15.75" thickBot="1" x14ac:dyDescent="0.3">
      <c r="B383" s="65" t="s">
        <v>34</v>
      </c>
      <c r="C383" s="164">
        <f>C269+C229+C90+C50</f>
        <v>0</v>
      </c>
      <c r="D383" s="164">
        <f>D269+D229+D90+D50</f>
        <v>0</v>
      </c>
      <c r="E383" s="164">
        <f>E269+E229+E90+E50</f>
        <v>0</v>
      </c>
      <c r="F383" s="164">
        <f>F269+F229+F90+F50</f>
        <v>0</v>
      </c>
    </row>
    <row r="384" spans="2:6" ht="15.75" thickBot="1" x14ac:dyDescent="0.3">
      <c r="B384" s="181" t="s">
        <v>89</v>
      </c>
      <c r="C384" s="165"/>
      <c r="D384" s="182" t="e">
        <f>D383/C383-1</f>
        <v>#DIV/0!</v>
      </c>
      <c r="E384" s="182" t="e">
        <f t="shared" ref="E384:F384" si="41">E383/D383-1</f>
        <v>#DIV/0!</v>
      </c>
      <c r="F384" s="182" t="e">
        <f t="shared" si="41"/>
        <v>#DIV/0!</v>
      </c>
    </row>
    <row r="385" spans="2:6" ht="15.75" thickBot="1" x14ac:dyDescent="0.3">
      <c r="B385" s="65" t="s">
        <v>36</v>
      </c>
      <c r="C385" s="164">
        <f>C272+C232+C93+C53</f>
        <v>0</v>
      </c>
      <c r="D385" s="164">
        <f>D272+D232+D93+D53</f>
        <v>0</v>
      </c>
      <c r="E385" s="164">
        <f>E272+E232+E93+E53</f>
        <v>0</v>
      </c>
      <c r="F385" s="164">
        <f>F272+F232+F93+F53</f>
        <v>0</v>
      </c>
    </row>
    <row r="386" spans="2:6" ht="15.75" thickBot="1" x14ac:dyDescent="0.3">
      <c r="B386" s="181" t="s">
        <v>90</v>
      </c>
      <c r="C386" s="165"/>
      <c r="D386" s="182" t="e">
        <f>D385/C385-1</f>
        <v>#DIV/0!</v>
      </c>
      <c r="E386" s="182" t="e">
        <f t="shared" ref="E386:F386" si="42">E385/D385-1</f>
        <v>#DIV/0!</v>
      </c>
      <c r="F386" s="182" t="e">
        <f t="shared" si="42"/>
        <v>#DIV/0!</v>
      </c>
    </row>
    <row r="387" spans="2:6" ht="15.75" thickBot="1" x14ac:dyDescent="0.3">
      <c r="B387" s="65" t="s">
        <v>38</v>
      </c>
      <c r="C387" s="164">
        <f>C275+C235+C96+C56</f>
        <v>0</v>
      </c>
      <c r="D387" s="164">
        <f>D275+D235+D96+D56</f>
        <v>0</v>
      </c>
      <c r="E387" s="164">
        <f>E275+E235+E96+E56</f>
        <v>0</v>
      </c>
      <c r="F387" s="164">
        <f>F275+F235+F96+F56</f>
        <v>0</v>
      </c>
    </row>
    <row r="388" spans="2:6" ht="15.75" thickBot="1" x14ac:dyDescent="0.3">
      <c r="B388" s="181" t="s">
        <v>91</v>
      </c>
      <c r="C388" s="165"/>
      <c r="D388" s="182" t="e">
        <f>D387/C387-1</f>
        <v>#DIV/0!</v>
      </c>
      <c r="E388" s="182" t="e">
        <f t="shared" ref="E388:F388" si="43">E387/D387-1</f>
        <v>#DIV/0!</v>
      </c>
      <c r="F388" s="182" t="e">
        <f t="shared" si="43"/>
        <v>#DIV/0!</v>
      </c>
    </row>
    <row r="389" spans="2:6" ht="15.75" thickBot="1" x14ac:dyDescent="0.3">
      <c r="B389" s="65" t="s">
        <v>92</v>
      </c>
      <c r="C389" s="164">
        <f>C121+C142+C165+C186+C300+C321+C344+C365</f>
        <v>0</v>
      </c>
      <c r="D389" s="164">
        <f t="shared" ref="D389:F389" si="44">D121+D142+D165+D186+D300+D321+D344+D365</f>
        <v>0</v>
      </c>
      <c r="E389" s="164">
        <f t="shared" si="44"/>
        <v>0</v>
      </c>
      <c r="F389" s="164">
        <f t="shared" si="44"/>
        <v>0</v>
      </c>
    </row>
    <row r="390" spans="2:6" ht="15.75" thickBot="1" x14ac:dyDescent="0.3">
      <c r="B390" s="181" t="s">
        <v>93</v>
      </c>
      <c r="C390" s="165"/>
      <c r="D390" s="182" t="e">
        <f>D389/C389-1</f>
        <v>#DIV/0!</v>
      </c>
      <c r="E390" s="182" t="e">
        <f t="shared" ref="E390:F390" si="45">E389/D389-1</f>
        <v>#DIV/0!</v>
      </c>
      <c r="F390" s="182" t="e">
        <f t="shared" si="45"/>
        <v>#DIV/0!</v>
      </c>
    </row>
    <row r="391" spans="2:6" ht="15.75" thickBot="1" x14ac:dyDescent="0.3">
      <c r="B391" s="65" t="s">
        <v>94</v>
      </c>
      <c r="C391" s="164">
        <f>C122+C143+C166+C187+C301+C322+C345+C366</f>
        <v>6000</v>
      </c>
      <c r="D391" s="164">
        <f t="shared" ref="D391:F391" si="46">D122+D143+D166+D187+D301+D322+D345+D366</f>
        <v>6000</v>
      </c>
      <c r="E391" s="164">
        <f t="shared" si="46"/>
        <v>6000</v>
      </c>
      <c r="F391" s="164">
        <f t="shared" si="46"/>
        <v>6000</v>
      </c>
    </row>
    <row r="392" spans="2:6" ht="15.75" thickBot="1" x14ac:dyDescent="0.3">
      <c r="B392" s="181" t="s">
        <v>95</v>
      </c>
      <c r="C392" s="165"/>
      <c r="D392" s="182">
        <f>D391/C391-1</f>
        <v>0</v>
      </c>
      <c r="E392" s="182">
        <f t="shared" ref="E392:F392" si="47">E391/D391-1</f>
        <v>0</v>
      </c>
      <c r="F392" s="182">
        <f t="shared" si="47"/>
        <v>0</v>
      </c>
    </row>
    <row r="393" spans="2:6" x14ac:dyDescent="0.25">
      <c r="B393" s="1220" t="s">
        <v>790</v>
      </c>
      <c r="C393" s="1644"/>
      <c r="D393" s="1223"/>
      <c r="E393" s="1223"/>
      <c r="F393" s="1224"/>
    </row>
    <row r="394" spans="2:6" x14ac:dyDescent="0.25">
      <c r="B394" s="1221"/>
      <c r="C394" s="1645"/>
      <c r="D394" s="1225"/>
      <c r="E394" s="1225"/>
      <c r="F394" s="1226"/>
    </row>
    <row r="395" spans="2:6" ht="15.75" thickBot="1" x14ac:dyDescent="0.3">
      <c r="B395" s="1222"/>
      <c r="C395" s="1646"/>
      <c r="D395" s="1227"/>
      <c r="E395" s="1227"/>
      <c r="F395" s="1228"/>
    </row>
    <row r="396" spans="2:6" ht="15.75" thickBot="1" x14ac:dyDescent="0.3">
      <c r="B396" s="166" t="s">
        <v>41</v>
      </c>
      <c r="C396" s="167">
        <f>IF(C373-C372=0,0,"Error")</f>
        <v>0</v>
      </c>
      <c r="D396" s="167">
        <f>IF(D373-D372=0,0,"Error")</f>
        <v>0</v>
      </c>
      <c r="E396" s="167">
        <f>IF(E373-E372=0,0,"Error")</f>
        <v>0</v>
      </c>
      <c r="F396" s="167">
        <f>IF(F373-F372=0,0,"Error")</f>
        <v>0</v>
      </c>
    </row>
    <row r="397" spans="2:6" ht="30.75" thickBot="1" x14ac:dyDescent="0.3">
      <c r="B397" s="183" t="s">
        <v>96</v>
      </c>
      <c r="C397" s="164">
        <v>29</v>
      </c>
      <c r="D397" s="164"/>
      <c r="E397" s="164" t="s">
        <v>23</v>
      </c>
      <c r="F397" s="164" t="s">
        <v>23</v>
      </c>
    </row>
    <row r="398" spans="2:6" ht="30.75" thickBot="1" x14ac:dyDescent="0.3">
      <c r="B398" s="183" t="s">
        <v>97</v>
      </c>
      <c r="C398" s="164">
        <v>16</v>
      </c>
      <c r="D398" s="164" t="s">
        <v>23</v>
      </c>
      <c r="E398" s="164" t="s">
        <v>23</v>
      </c>
      <c r="F398" s="164" t="s">
        <v>23</v>
      </c>
    </row>
  </sheetData>
  <mergeCells count="134">
    <mergeCell ref="B363:B364"/>
    <mergeCell ref="B368:B370"/>
    <mergeCell ref="C368:F370"/>
    <mergeCell ref="B393:B395"/>
    <mergeCell ref="C393:F395"/>
    <mergeCell ref="C350:F350"/>
    <mergeCell ref="C351:F351"/>
    <mergeCell ref="C352:F352"/>
    <mergeCell ref="C353:F353"/>
    <mergeCell ref="B354:B355"/>
    <mergeCell ref="B362:F362"/>
    <mergeCell ref="C331:F331"/>
    <mergeCell ref="C332:F332"/>
    <mergeCell ref="B333:B334"/>
    <mergeCell ref="B341:F341"/>
    <mergeCell ref="B342:B343"/>
    <mergeCell ref="B347:B349"/>
    <mergeCell ref="C347:F349"/>
    <mergeCell ref="B324:B326"/>
    <mergeCell ref="C324:F326"/>
    <mergeCell ref="B327:F327"/>
    <mergeCell ref="B328:F328"/>
    <mergeCell ref="C329:F329"/>
    <mergeCell ref="C330:F330"/>
    <mergeCell ref="C307:F307"/>
    <mergeCell ref="C308:F308"/>
    <mergeCell ref="C309:F309"/>
    <mergeCell ref="B310:B311"/>
    <mergeCell ref="B318:F318"/>
    <mergeCell ref="B319:B320"/>
    <mergeCell ref="B289:B290"/>
    <mergeCell ref="B297:F297"/>
    <mergeCell ref="B298:B299"/>
    <mergeCell ref="B303:B305"/>
    <mergeCell ref="C303:F305"/>
    <mergeCell ref="C306:F306"/>
    <mergeCell ref="B283:F283"/>
    <mergeCell ref="B284:F284"/>
    <mergeCell ref="C285:F285"/>
    <mergeCell ref="C286:F286"/>
    <mergeCell ref="C287:F287"/>
    <mergeCell ref="C288:F288"/>
    <mergeCell ref="C244:F244"/>
    <mergeCell ref="C245:F245"/>
    <mergeCell ref="B246:B247"/>
    <mergeCell ref="B254:F254"/>
    <mergeCell ref="B255:B256"/>
    <mergeCell ref="B279:B281"/>
    <mergeCell ref="C279:F281"/>
    <mergeCell ref="B212:B213"/>
    <mergeCell ref="B214:F214"/>
    <mergeCell ref="B215:B216"/>
    <mergeCell ref="B239:B241"/>
    <mergeCell ref="C239:F241"/>
    <mergeCell ref="C243:F243"/>
    <mergeCell ref="B198:F198"/>
    <mergeCell ref="B199:B200"/>
    <mergeCell ref="C201:F201"/>
    <mergeCell ref="C202:F202"/>
    <mergeCell ref="C203:F203"/>
    <mergeCell ref="B204:B205"/>
    <mergeCell ref="B184:B185"/>
    <mergeCell ref="B189:B191"/>
    <mergeCell ref="C189:F191"/>
    <mergeCell ref="C192:F192"/>
    <mergeCell ref="B193:F193"/>
    <mergeCell ref="B197:F197"/>
    <mergeCell ref="C171:F171"/>
    <mergeCell ref="C172:F172"/>
    <mergeCell ref="C173:F173"/>
    <mergeCell ref="C174:F174"/>
    <mergeCell ref="B175:B176"/>
    <mergeCell ref="B183:F183"/>
    <mergeCell ref="C152:F152"/>
    <mergeCell ref="C153:F153"/>
    <mergeCell ref="B154:B155"/>
    <mergeCell ref="B162:F162"/>
    <mergeCell ref="B163:B164"/>
    <mergeCell ref="B168:B170"/>
    <mergeCell ref="C168:F170"/>
    <mergeCell ref="B145:B147"/>
    <mergeCell ref="C145:F147"/>
    <mergeCell ref="B148:F148"/>
    <mergeCell ref="B149:F149"/>
    <mergeCell ref="C150:F150"/>
    <mergeCell ref="C151:F151"/>
    <mergeCell ref="C128:F128"/>
    <mergeCell ref="C129:F129"/>
    <mergeCell ref="C130:F130"/>
    <mergeCell ref="B131:B132"/>
    <mergeCell ref="B139:F139"/>
    <mergeCell ref="B140:B141"/>
    <mergeCell ref="B110:B111"/>
    <mergeCell ref="B118:F118"/>
    <mergeCell ref="B119:B120"/>
    <mergeCell ref="B124:B126"/>
    <mergeCell ref="C124:F126"/>
    <mergeCell ref="C127:F127"/>
    <mergeCell ref="B104:F104"/>
    <mergeCell ref="B105:F105"/>
    <mergeCell ref="C106:F106"/>
    <mergeCell ref="C107:F107"/>
    <mergeCell ref="C108:F108"/>
    <mergeCell ref="C109:F109"/>
    <mergeCell ref="C65:F65"/>
    <mergeCell ref="C66:F66"/>
    <mergeCell ref="B68:B69"/>
    <mergeCell ref="B75:F75"/>
    <mergeCell ref="B76:B77"/>
    <mergeCell ref="B100:B102"/>
    <mergeCell ref="C100:F102"/>
    <mergeCell ref="B27:B28"/>
    <mergeCell ref="B35:F35"/>
    <mergeCell ref="B36:B37"/>
    <mergeCell ref="B60:B62"/>
    <mergeCell ref="C60:F62"/>
    <mergeCell ref="C64:F64"/>
    <mergeCell ref="B18:F18"/>
    <mergeCell ref="B22:F22"/>
    <mergeCell ref="B23:F23"/>
    <mergeCell ref="C24:F24"/>
    <mergeCell ref="C25:F25"/>
    <mergeCell ref="C26:F26"/>
    <mergeCell ref="B8:F8"/>
    <mergeCell ref="B9:F9"/>
    <mergeCell ref="B10:F10"/>
    <mergeCell ref="C11:F11"/>
    <mergeCell ref="B12:B13"/>
    <mergeCell ref="C17:F17"/>
    <mergeCell ref="B2:H2"/>
    <mergeCell ref="C4:F4"/>
    <mergeCell ref="C5:F5"/>
    <mergeCell ref="C6:F6"/>
    <mergeCell ref="B7:F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F232"/>
  <sheetViews>
    <sheetView topLeftCell="A193" workbookViewId="0">
      <selection activeCell="M11" sqref="M11"/>
    </sheetView>
  </sheetViews>
  <sheetFormatPr defaultRowHeight="15" x14ac:dyDescent="0.25"/>
  <cols>
    <col min="1" max="1" width="9.140625" style="152"/>
    <col min="2" max="2" width="51.140625" style="152" customWidth="1"/>
    <col min="3" max="3" width="21.5703125" style="152" customWidth="1"/>
    <col min="4" max="4" width="19" style="152" customWidth="1"/>
    <col min="5" max="5" width="20.7109375" style="152" customWidth="1"/>
    <col min="6" max="6" width="22.7109375" style="152" customWidth="1"/>
    <col min="7" max="16384" width="9.140625" style="152"/>
  </cols>
  <sheetData>
    <row r="2" spans="2:6" x14ac:dyDescent="0.25">
      <c r="B2" s="87" t="s">
        <v>113</v>
      </c>
    </row>
    <row r="3" spans="2:6" ht="15.75" thickBot="1" x14ac:dyDescent="0.3"/>
    <row r="4" spans="2:6" ht="15.75" thickBot="1" x14ac:dyDescent="0.3">
      <c r="B4" s="153" t="s">
        <v>2</v>
      </c>
      <c r="C4" s="979" t="s">
        <v>568</v>
      </c>
      <c r="D4" s="979"/>
      <c r="E4" s="979"/>
      <c r="F4" s="979"/>
    </row>
    <row r="5" spans="2:6" ht="15.75" thickBot="1" x14ac:dyDescent="0.3">
      <c r="B5" s="153" t="s">
        <v>3</v>
      </c>
      <c r="C5" s="1048" t="s">
        <v>1313</v>
      </c>
      <c r="D5" s="981"/>
      <c r="E5" s="981"/>
      <c r="F5" s="982"/>
    </row>
    <row r="6" spans="2:6" ht="15.75" thickBot="1" x14ac:dyDescent="0.3">
      <c r="B6" s="153" t="s">
        <v>5</v>
      </c>
      <c r="C6" s="983" t="s">
        <v>6</v>
      </c>
      <c r="D6" s="984"/>
      <c r="E6" s="984"/>
      <c r="F6" s="985"/>
    </row>
    <row r="7" spans="2:6" ht="15.75" thickBot="1" x14ac:dyDescent="0.3">
      <c r="B7" s="986" t="s">
        <v>7</v>
      </c>
      <c r="C7" s="987"/>
      <c r="D7" s="987"/>
      <c r="E7" s="987"/>
      <c r="F7" s="988"/>
    </row>
    <row r="8" spans="2:6" ht="15.75" thickBot="1" x14ac:dyDescent="0.3">
      <c r="B8" s="1003" t="s">
        <v>1314</v>
      </c>
      <c r="C8" s="1004"/>
      <c r="D8" s="1004"/>
      <c r="E8" s="1004"/>
      <c r="F8" s="1005"/>
    </row>
    <row r="9" spans="2:6" ht="15.75" thickBot="1" x14ac:dyDescent="0.3">
      <c r="B9" s="1003"/>
      <c r="C9" s="1004"/>
      <c r="D9" s="1004"/>
      <c r="E9" s="1004"/>
      <c r="F9" s="1005"/>
    </row>
    <row r="10" spans="2:6" ht="15.75" thickBot="1" x14ac:dyDescent="0.3">
      <c r="B10" s="1003"/>
      <c r="C10" s="1004"/>
      <c r="D10" s="1004"/>
      <c r="E10" s="1004"/>
      <c r="F10" s="1005"/>
    </row>
    <row r="11" spans="2:6" ht="120.75" customHeight="1" thickBot="1" x14ac:dyDescent="0.3">
      <c r="B11" s="154" t="s">
        <v>8</v>
      </c>
      <c r="C11" s="1647" t="s">
        <v>1315</v>
      </c>
      <c r="D11" s="1648"/>
      <c r="E11" s="1648"/>
      <c r="F11" s="1649"/>
    </row>
    <row r="12" spans="2:6" x14ac:dyDescent="0.25">
      <c r="B12" s="998" t="s">
        <v>9</v>
      </c>
      <c r="C12" s="640">
        <v>2018</v>
      </c>
      <c r="D12" s="640">
        <v>2019</v>
      </c>
      <c r="E12" s="640">
        <v>2020</v>
      </c>
      <c r="F12" s="640">
        <v>2021</v>
      </c>
    </row>
    <row r="13" spans="2:6" ht="15.75" thickBot="1" x14ac:dyDescent="0.3">
      <c r="B13" s="999"/>
      <c r="C13" s="641" t="s">
        <v>10</v>
      </c>
      <c r="D13" s="641" t="s">
        <v>11</v>
      </c>
      <c r="E13" s="641" t="s">
        <v>11</v>
      </c>
      <c r="F13" s="641" t="s">
        <v>11</v>
      </c>
    </row>
    <row r="14" spans="2:6" ht="60.75" thickBot="1" x14ac:dyDescent="0.3">
      <c r="B14" s="637" t="s">
        <v>1316</v>
      </c>
      <c r="C14" s="157">
        <v>0.67</v>
      </c>
      <c r="D14" s="157">
        <v>0.67</v>
      </c>
      <c r="E14" s="157">
        <v>0.72</v>
      </c>
      <c r="F14" s="157">
        <v>0.72</v>
      </c>
    </row>
    <row r="15" spans="2:6" ht="45.75" thickBot="1" x14ac:dyDescent="0.3">
      <c r="B15" s="229" t="s">
        <v>1317</v>
      </c>
      <c r="C15" s="658">
        <v>0.67</v>
      </c>
      <c r="D15" s="658">
        <v>0.72</v>
      </c>
      <c r="E15" s="658">
        <v>0.77</v>
      </c>
      <c r="F15" s="658">
        <v>0.77</v>
      </c>
    </row>
    <row r="16" spans="2:6" ht="30.75" thickBot="1" x14ac:dyDescent="0.3">
      <c r="B16" s="62" t="s">
        <v>1318</v>
      </c>
      <c r="C16" s="157">
        <v>0.7</v>
      </c>
      <c r="D16" s="157">
        <v>0.79</v>
      </c>
      <c r="E16" s="157">
        <v>0.85</v>
      </c>
      <c r="F16" s="157">
        <v>0.85</v>
      </c>
    </row>
    <row r="17" spans="2:6" ht="55.5" customHeight="1" thickBot="1" x14ac:dyDescent="0.3">
      <c r="B17" s="218" t="s">
        <v>1332</v>
      </c>
      <c r="C17" s="1007" t="s">
        <v>1319</v>
      </c>
      <c r="D17" s="1006"/>
      <c r="E17" s="1006"/>
      <c r="F17" s="1008"/>
    </row>
    <row r="18" spans="2:6" ht="15.75" thickBot="1" x14ac:dyDescent="0.3">
      <c r="B18" s="983" t="s">
        <v>13</v>
      </c>
      <c r="C18" s="984"/>
      <c r="D18" s="984"/>
      <c r="E18" s="984"/>
      <c r="F18" s="985"/>
    </row>
    <row r="19" spans="2:6" ht="75.75" thickBot="1" x14ac:dyDescent="0.3">
      <c r="B19" s="637" t="s">
        <v>1320</v>
      </c>
      <c r="C19" s="157">
        <v>0.67</v>
      </c>
      <c r="D19" s="157">
        <v>0.67</v>
      </c>
      <c r="E19" s="157">
        <v>0.72</v>
      </c>
      <c r="F19" s="157">
        <v>0.72</v>
      </c>
    </row>
    <row r="20" spans="2:6" ht="45.75" thickBot="1" x14ac:dyDescent="0.3">
      <c r="B20" s="62" t="s">
        <v>1321</v>
      </c>
      <c r="C20" s="157">
        <v>0.72</v>
      </c>
      <c r="D20" s="157">
        <v>0.72</v>
      </c>
      <c r="E20" s="157">
        <v>0.77</v>
      </c>
      <c r="F20" s="157">
        <v>0.77</v>
      </c>
    </row>
    <row r="21" spans="2:6" ht="15.75" thickBot="1" x14ac:dyDescent="0.3">
      <c r="B21" s="1615" t="s">
        <v>14</v>
      </c>
      <c r="C21" s="1616"/>
      <c r="D21" s="1616"/>
      <c r="E21" s="1616"/>
      <c r="F21" s="1617"/>
    </row>
    <row r="22" spans="2:6" ht="15.75" thickBot="1" x14ac:dyDescent="0.3">
      <c r="B22" s="989" t="s">
        <v>15</v>
      </c>
      <c r="C22" s="990"/>
      <c r="D22" s="990"/>
      <c r="E22" s="990"/>
      <c r="F22" s="991"/>
    </row>
    <row r="23" spans="2:6" ht="15.75" thickBot="1" x14ac:dyDescent="0.3">
      <c r="B23" s="160" t="s">
        <v>16</v>
      </c>
      <c r="C23" s="1373" t="s">
        <v>1322</v>
      </c>
      <c r="D23" s="1374"/>
      <c r="E23" s="1374"/>
      <c r="F23" s="1375"/>
    </row>
    <row r="24" spans="2:6" ht="48.75" customHeight="1" thickBot="1" x14ac:dyDescent="0.3">
      <c r="B24" s="62" t="s">
        <v>17</v>
      </c>
      <c r="C24" s="983" t="s">
        <v>1323</v>
      </c>
      <c r="D24" s="984"/>
      <c r="E24" s="984"/>
      <c r="F24" s="985"/>
    </row>
    <row r="25" spans="2:6" ht="15.75" thickBot="1" x14ac:dyDescent="0.3">
      <c r="B25" s="62" t="s">
        <v>18</v>
      </c>
      <c r="C25" s="995" t="s">
        <v>1324</v>
      </c>
      <c r="D25" s="996"/>
      <c r="E25" s="996"/>
      <c r="F25" s="997"/>
    </row>
    <row r="26" spans="2:6" x14ac:dyDescent="0.25">
      <c r="B26" s="998"/>
      <c r="C26" s="63">
        <v>2018</v>
      </c>
      <c r="D26" s="63">
        <v>2019</v>
      </c>
      <c r="E26" s="63">
        <v>2020</v>
      </c>
      <c r="F26" s="63">
        <v>2021</v>
      </c>
    </row>
    <row r="27" spans="2:6" ht="15.75" thickBot="1" x14ac:dyDescent="0.3">
      <c r="B27" s="999"/>
      <c r="C27" s="64" t="s">
        <v>10</v>
      </c>
      <c r="D27" s="64" t="s">
        <v>11</v>
      </c>
      <c r="E27" s="64" t="s">
        <v>11</v>
      </c>
      <c r="F27" s="64" t="s">
        <v>11</v>
      </c>
    </row>
    <row r="28" spans="2:6" ht="15.75" thickBot="1" x14ac:dyDescent="0.3">
      <c r="B28" s="62" t="s">
        <v>19</v>
      </c>
      <c r="C28" s="161">
        <v>17</v>
      </c>
      <c r="D28" s="161">
        <v>17</v>
      </c>
      <c r="E28" s="161">
        <v>17</v>
      </c>
      <c r="F28" s="161">
        <v>17</v>
      </c>
    </row>
    <row r="29" spans="2:6" ht="15.75" thickBot="1" x14ac:dyDescent="0.3">
      <c r="B29" s="62" t="s">
        <v>20</v>
      </c>
      <c r="C29" s="161">
        <f>C37+C40+C43</f>
        <v>26546</v>
      </c>
      <c r="D29" s="161">
        <f>D37+D40+D43</f>
        <v>26546</v>
      </c>
      <c r="E29" s="161">
        <f>E37+E40+E43</f>
        <v>26546</v>
      </c>
      <c r="F29" s="161">
        <f>F37+F40+F43</f>
        <v>26546</v>
      </c>
    </row>
    <row r="30" spans="2:6" ht="15.75" thickBot="1" x14ac:dyDescent="0.3">
      <c r="B30" s="62" t="s">
        <v>21</v>
      </c>
      <c r="C30" s="161">
        <f>C29/C28</f>
        <v>1561.5294117647059</v>
      </c>
      <c r="D30" s="161">
        <f>D29/D28</f>
        <v>1561.5294117647059</v>
      </c>
      <c r="E30" s="161">
        <f>E29/E28</f>
        <v>1561.5294117647059</v>
      </c>
      <c r="F30" s="161">
        <f>F29/F28</f>
        <v>1561.5294117647059</v>
      </c>
    </row>
    <row r="31" spans="2:6" ht="15.75" thickBot="1" x14ac:dyDescent="0.3">
      <c r="B31" s="62" t="s">
        <v>22</v>
      </c>
      <c r="C31" s="636" t="s">
        <v>23</v>
      </c>
      <c r="D31" s="162">
        <f>D28/C28-1</f>
        <v>0</v>
      </c>
      <c r="E31" s="162">
        <f t="shared" ref="E31:F33" si="0">E28/D28-1</f>
        <v>0</v>
      </c>
      <c r="F31" s="162">
        <f t="shared" si="0"/>
        <v>0</v>
      </c>
    </row>
    <row r="32" spans="2:6" ht="15.75" thickBot="1" x14ac:dyDescent="0.3">
      <c r="B32" s="62" t="s">
        <v>24</v>
      </c>
      <c r="C32" s="636" t="s">
        <v>23</v>
      </c>
      <c r="D32" s="162">
        <f>D29/C29-1</f>
        <v>0</v>
      </c>
      <c r="E32" s="162">
        <f t="shared" si="0"/>
        <v>0</v>
      </c>
      <c r="F32" s="162">
        <f t="shared" si="0"/>
        <v>0</v>
      </c>
    </row>
    <row r="33" spans="2:6" ht="15.75" thickBot="1" x14ac:dyDescent="0.3">
      <c r="B33" s="62" t="s">
        <v>25</v>
      </c>
      <c r="C33" s="636" t="s">
        <v>23</v>
      </c>
      <c r="D33" s="162">
        <f>D30/C30-1</f>
        <v>0</v>
      </c>
      <c r="E33" s="162">
        <f t="shared" si="0"/>
        <v>0</v>
      </c>
      <c r="F33" s="162">
        <f t="shared" si="0"/>
        <v>0</v>
      </c>
    </row>
    <row r="34" spans="2:6" ht="15.75" thickBot="1" x14ac:dyDescent="0.3">
      <c r="B34" s="1000" t="s">
        <v>1075</v>
      </c>
      <c r="C34" s="1001"/>
      <c r="D34" s="1001"/>
      <c r="E34" s="1001"/>
      <c r="F34" s="1002"/>
    </row>
    <row r="35" spans="2:6" x14ac:dyDescent="0.25">
      <c r="B35" s="998"/>
      <c r="C35" s="63">
        <v>2018</v>
      </c>
      <c r="D35" s="63">
        <v>2019</v>
      </c>
      <c r="E35" s="63">
        <v>2020</v>
      </c>
      <c r="F35" s="63">
        <v>2021</v>
      </c>
    </row>
    <row r="36" spans="2:6" ht="15.75" thickBot="1" x14ac:dyDescent="0.3">
      <c r="B36" s="999"/>
      <c r="C36" s="64" t="s">
        <v>10</v>
      </c>
      <c r="D36" s="64" t="s">
        <v>11</v>
      </c>
      <c r="E36" s="64" t="s">
        <v>11</v>
      </c>
      <c r="F36" s="64" t="s">
        <v>11</v>
      </c>
    </row>
    <row r="37" spans="2:6" ht="15.75" thickBot="1" x14ac:dyDescent="0.3">
      <c r="B37" s="65" t="s">
        <v>26</v>
      </c>
      <c r="C37" s="164">
        <v>16520</v>
      </c>
      <c r="D37" s="164">
        <v>16520</v>
      </c>
      <c r="E37" s="164">
        <v>16520</v>
      </c>
      <c r="F37" s="164">
        <v>16520</v>
      </c>
    </row>
    <row r="38" spans="2:6" ht="30.75" thickBot="1" x14ac:dyDescent="0.3">
      <c r="B38" s="181" t="s">
        <v>27</v>
      </c>
      <c r="C38" s="162">
        <f>C37/C29</f>
        <v>0.62231597980863407</v>
      </c>
      <c r="D38" s="162">
        <f>D37/D29</f>
        <v>0.62231597980863407</v>
      </c>
      <c r="E38" s="162">
        <f>E37/E29</f>
        <v>0.62231597980863407</v>
      </c>
      <c r="F38" s="162">
        <f>F37/F29</f>
        <v>0.62231597980863407</v>
      </c>
    </row>
    <row r="39" spans="2:6" ht="30.75" thickBot="1" x14ac:dyDescent="0.3">
      <c r="B39" s="181" t="s">
        <v>1333</v>
      </c>
      <c r="C39" s="165"/>
      <c r="D39" s="182"/>
      <c r="E39" s="182"/>
      <c r="F39" s="182"/>
    </row>
    <row r="40" spans="2:6" ht="15.75" thickBot="1" x14ac:dyDescent="0.3">
      <c r="B40" s="65" t="s">
        <v>28</v>
      </c>
      <c r="C40" s="164">
        <v>2026</v>
      </c>
      <c r="D40" s="164">
        <v>2026</v>
      </c>
      <c r="E40" s="164">
        <v>2026</v>
      </c>
      <c r="F40" s="164">
        <v>2026</v>
      </c>
    </row>
    <row r="41" spans="2:6" ht="30.75" thickBot="1" x14ac:dyDescent="0.3">
      <c r="B41" s="181" t="s">
        <v>29</v>
      </c>
      <c r="C41" s="162">
        <f>C40/C29</f>
        <v>7.6320349581857905E-2</v>
      </c>
      <c r="D41" s="162">
        <f>D40/D29</f>
        <v>7.6320349581857905E-2</v>
      </c>
      <c r="E41" s="162">
        <f>E40/E29</f>
        <v>7.6320349581857905E-2</v>
      </c>
      <c r="F41" s="162">
        <f>F40/F29</f>
        <v>7.6320349581857905E-2</v>
      </c>
    </row>
    <row r="42" spans="2:6" ht="30.75" thickBot="1" x14ac:dyDescent="0.3">
      <c r="B42" s="181" t="s">
        <v>1334</v>
      </c>
      <c r="C42" s="165"/>
      <c r="D42" s="164"/>
      <c r="E42" s="164"/>
      <c r="F42" s="164"/>
    </row>
    <row r="43" spans="2:6" ht="15.75" thickBot="1" x14ac:dyDescent="0.3">
      <c r="B43" s="65" t="s">
        <v>30</v>
      </c>
      <c r="C43" s="165">
        <v>8000</v>
      </c>
      <c r="D43" s="165">
        <v>8000</v>
      </c>
      <c r="E43" s="165">
        <v>8000</v>
      </c>
      <c r="F43" s="165">
        <v>8000</v>
      </c>
    </row>
    <row r="44" spans="2:6" ht="30.75" thickBot="1" x14ac:dyDescent="0.3">
      <c r="B44" s="181" t="s">
        <v>31</v>
      </c>
      <c r="C44" s="162">
        <f>C43/C29</f>
        <v>0.30136367060950803</v>
      </c>
      <c r="D44" s="162">
        <f>D43/D29</f>
        <v>0.30136367060950803</v>
      </c>
      <c r="E44" s="162">
        <f>E43/E29</f>
        <v>0.30136367060950803</v>
      </c>
      <c r="F44" s="162">
        <f>F43/F29</f>
        <v>0.30136367060950803</v>
      </c>
    </row>
    <row r="45" spans="2:6" ht="30.75" thickBot="1" x14ac:dyDescent="0.3">
      <c r="B45" s="181" t="s">
        <v>1335</v>
      </c>
      <c r="C45" s="165"/>
      <c r="D45" s="164"/>
      <c r="E45" s="164"/>
      <c r="F45" s="164"/>
    </row>
    <row r="46" spans="2:6" ht="15.75" thickBot="1" x14ac:dyDescent="0.3">
      <c r="B46" s="65" t="s">
        <v>32</v>
      </c>
      <c r="C46" s="165"/>
      <c r="D46" s="164"/>
      <c r="E46" s="164"/>
      <c r="F46" s="164"/>
    </row>
    <row r="47" spans="2:6" ht="30.75" thickBot="1" x14ac:dyDescent="0.3">
      <c r="B47" s="181" t="s">
        <v>33</v>
      </c>
      <c r="C47" s="165"/>
      <c r="D47" s="164"/>
      <c r="E47" s="164"/>
      <c r="F47" s="164"/>
    </row>
    <row r="48" spans="2:6" ht="30.75" thickBot="1" x14ac:dyDescent="0.3">
      <c r="B48" s="181" t="s">
        <v>1336</v>
      </c>
      <c r="C48" s="165"/>
      <c r="D48" s="164"/>
      <c r="E48" s="164"/>
      <c r="F48" s="164"/>
    </row>
    <row r="49" spans="2:6" ht="15.75" thickBot="1" x14ac:dyDescent="0.3">
      <c r="B49" s="65" t="s">
        <v>34</v>
      </c>
      <c r="C49" s="165"/>
      <c r="D49" s="164"/>
      <c r="E49" s="164"/>
      <c r="F49" s="164"/>
    </row>
    <row r="50" spans="2:6" ht="30.75" thickBot="1" x14ac:dyDescent="0.3">
      <c r="B50" s="181" t="s">
        <v>35</v>
      </c>
      <c r="C50" s="165"/>
      <c r="D50" s="164"/>
      <c r="E50" s="164"/>
      <c r="F50" s="164"/>
    </row>
    <row r="51" spans="2:6" ht="30.75" thickBot="1" x14ac:dyDescent="0.3">
      <c r="B51" s="181" t="s">
        <v>1337</v>
      </c>
      <c r="C51" s="165"/>
      <c r="D51" s="164"/>
      <c r="E51" s="164"/>
      <c r="F51" s="164"/>
    </row>
    <row r="52" spans="2:6" ht="15.75" thickBot="1" x14ac:dyDescent="0.3">
      <c r="B52" s="65" t="s">
        <v>36</v>
      </c>
      <c r="C52" s="165"/>
      <c r="D52" s="164"/>
      <c r="E52" s="164"/>
      <c r="F52" s="164"/>
    </row>
    <row r="53" spans="2:6" ht="30.75" thickBot="1" x14ac:dyDescent="0.3">
      <c r="B53" s="181" t="s">
        <v>37</v>
      </c>
      <c r="C53" s="165"/>
      <c r="D53" s="164"/>
      <c r="E53" s="164"/>
      <c r="F53" s="164"/>
    </row>
    <row r="54" spans="2:6" ht="30.75" thickBot="1" x14ac:dyDescent="0.3">
      <c r="B54" s="181" t="s">
        <v>1338</v>
      </c>
      <c r="C54" s="165"/>
      <c r="D54" s="164"/>
      <c r="E54" s="164"/>
      <c r="F54" s="164"/>
    </row>
    <row r="55" spans="2:6" ht="15.75" thickBot="1" x14ac:dyDescent="0.3">
      <c r="B55" s="65" t="s">
        <v>38</v>
      </c>
      <c r="C55" s="165"/>
      <c r="D55" s="164"/>
      <c r="E55" s="164"/>
      <c r="F55" s="164"/>
    </row>
    <row r="56" spans="2:6" ht="30.75" thickBot="1" x14ac:dyDescent="0.3">
      <c r="B56" s="181" t="s">
        <v>39</v>
      </c>
      <c r="C56" s="165"/>
      <c r="D56" s="164"/>
      <c r="E56" s="164"/>
      <c r="F56" s="164"/>
    </row>
    <row r="57" spans="2:6" ht="30.75" thickBot="1" x14ac:dyDescent="0.3">
      <c r="B57" s="181" t="s">
        <v>1339</v>
      </c>
      <c r="C57" s="165"/>
      <c r="D57" s="164"/>
      <c r="E57" s="164"/>
      <c r="F57" s="164"/>
    </row>
    <row r="58" spans="2:6" ht="15.75" thickBot="1" x14ac:dyDescent="0.3">
      <c r="B58" s="66" t="s">
        <v>40</v>
      </c>
      <c r="C58" s="165">
        <f>C55+C52+C49+C46+C43+C40+C37</f>
        <v>26546</v>
      </c>
      <c r="D58" s="165">
        <f>D55+D52+D49+D46+D43+D40+D37</f>
        <v>26546</v>
      </c>
      <c r="E58" s="165">
        <f>E55+E52+E49+E46+E43+E40+E37</f>
        <v>26546</v>
      </c>
      <c r="F58" s="165">
        <f>F55+F52+F49+F46+F43+F40+F37</f>
        <v>26546</v>
      </c>
    </row>
    <row r="59" spans="2:6" x14ac:dyDescent="0.25">
      <c r="B59" s="1015" t="s">
        <v>1340</v>
      </c>
      <c r="C59" s="1036"/>
      <c r="D59" s="1037"/>
      <c r="E59" s="1037"/>
      <c r="F59" s="1038"/>
    </row>
    <row r="60" spans="2:6" x14ac:dyDescent="0.25">
      <c r="B60" s="1016"/>
      <c r="C60" s="1039"/>
      <c r="D60" s="1040"/>
      <c r="E60" s="1040"/>
      <c r="F60" s="1041"/>
    </row>
    <row r="61" spans="2:6" ht="15.75" thickBot="1" x14ac:dyDescent="0.3">
      <c r="B61" s="1017"/>
      <c r="C61" s="1042"/>
      <c r="D61" s="1043"/>
      <c r="E61" s="1043"/>
      <c r="F61" s="1044"/>
    </row>
    <row r="62" spans="2:6" ht="15.75" thickBot="1" x14ac:dyDescent="0.3">
      <c r="B62" s="166" t="s">
        <v>41</v>
      </c>
      <c r="C62" s="167">
        <f>IF(C58-C29=0,0,"Error")</f>
        <v>0</v>
      </c>
      <c r="D62" s="167">
        <f>IF(D58-D29=0,0,"Error")</f>
        <v>0</v>
      </c>
      <c r="E62" s="167">
        <f>IF(E58-E29=0,0,"Error")</f>
        <v>0</v>
      </c>
      <c r="F62" s="167">
        <f>IF(F58-F29=0,0,"Error")</f>
        <v>0</v>
      </c>
    </row>
    <row r="63" spans="2:6" ht="15.75" thickBot="1" x14ac:dyDescent="0.3">
      <c r="B63" s="1615" t="s">
        <v>55</v>
      </c>
      <c r="C63" s="1616"/>
      <c r="D63" s="1616"/>
      <c r="E63" s="1616"/>
      <c r="F63" s="1617"/>
    </row>
    <row r="64" spans="2:6" ht="15.75" thickBot="1" x14ac:dyDescent="0.3">
      <c r="B64" s="989" t="s">
        <v>56</v>
      </c>
      <c r="C64" s="990"/>
      <c r="D64" s="990"/>
      <c r="E64" s="990"/>
      <c r="F64" s="991"/>
    </row>
    <row r="65" spans="2:6" ht="15.75" thickBot="1" x14ac:dyDescent="0.3">
      <c r="B65" s="67" t="s">
        <v>79</v>
      </c>
      <c r="C65" s="1009" t="s">
        <v>1325</v>
      </c>
      <c r="D65" s="1010"/>
      <c r="E65" s="1010"/>
      <c r="F65" s="1011"/>
    </row>
    <row r="66" spans="2:6" ht="15.75" thickBot="1" x14ac:dyDescent="0.3">
      <c r="B66" s="160" t="s">
        <v>16</v>
      </c>
      <c r="C66" s="992" t="s">
        <v>1322</v>
      </c>
      <c r="D66" s="993"/>
      <c r="E66" s="993"/>
      <c r="F66" s="994"/>
    </row>
    <row r="67" spans="2:6" ht="39.75" customHeight="1" thickBot="1" x14ac:dyDescent="0.3">
      <c r="B67" s="62" t="s">
        <v>17</v>
      </c>
      <c r="C67" s="983" t="s">
        <v>1323</v>
      </c>
      <c r="D67" s="984"/>
      <c r="E67" s="984"/>
      <c r="F67" s="985"/>
    </row>
    <row r="68" spans="2:6" ht="15.75" thickBot="1" x14ac:dyDescent="0.3">
      <c r="B68" s="62" t="s">
        <v>18</v>
      </c>
      <c r="C68" s="995" t="s">
        <v>1326</v>
      </c>
      <c r="D68" s="996"/>
      <c r="E68" s="996"/>
      <c r="F68" s="997"/>
    </row>
    <row r="69" spans="2:6" x14ac:dyDescent="0.25">
      <c r="B69" s="998"/>
      <c r="C69" s="63">
        <v>2018</v>
      </c>
      <c r="D69" s="63">
        <v>2019</v>
      </c>
      <c r="E69" s="63">
        <v>2020</v>
      </c>
      <c r="F69" s="63">
        <v>2021</v>
      </c>
    </row>
    <row r="70" spans="2:6" ht="15.75" thickBot="1" x14ac:dyDescent="0.3">
      <c r="B70" s="999"/>
      <c r="C70" s="64" t="s">
        <v>10</v>
      </c>
      <c r="D70" s="64" t="s">
        <v>11</v>
      </c>
      <c r="E70" s="64" t="s">
        <v>11</v>
      </c>
      <c r="F70" s="64" t="s">
        <v>11</v>
      </c>
    </row>
    <row r="71" spans="2:6" ht="15.75" thickBot="1" x14ac:dyDescent="0.3">
      <c r="B71" s="62" t="s">
        <v>19</v>
      </c>
      <c r="C71" s="161">
        <v>17</v>
      </c>
      <c r="D71" s="161">
        <v>17</v>
      </c>
      <c r="E71" s="161">
        <v>17</v>
      </c>
      <c r="F71" s="161">
        <v>17</v>
      </c>
    </row>
    <row r="72" spans="2:6" ht="15.75" thickBot="1" x14ac:dyDescent="0.3">
      <c r="B72" s="62" t="s">
        <v>20</v>
      </c>
      <c r="C72" s="161"/>
      <c r="D72" s="161">
        <v>815</v>
      </c>
      <c r="E72" s="161">
        <v>725</v>
      </c>
      <c r="F72" s="161">
        <v>725</v>
      </c>
    </row>
    <row r="73" spans="2:6" ht="15.75" thickBot="1" x14ac:dyDescent="0.3">
      <c r="B73" s="62" t="s">
        <v>21</v>
      </c>
      <c r="C73" s="161">
        <f>C72/C71</f>
        <v>0</v>
      </c>
      <c r="D73" s="161">
        <f>D72/D71</f>
        <v>47.941176470588232</v>
      </c>
      <c r="E73" s="161">
        <f>E72/E71</f>
        <v>42.647058823529413</v>
      </c>
      <c r="F73" s="161">
        <f>F72/F71</f>
        <v>42.647058823529413</v>
      </c>
    </row>
    <row r="74" spans="2:6" ht="15.75" thickBot="1" x14ac:dyDescent="0.3">
      <c r="B74" s="62" t="s">
        <v>22</v>
      </c>
      <c r="C74" s="636" t="s">
        <v>23</v>
      </c>
      <c r="D74" s="162">
        <f>D71/C71-1</f>
        <v>0</v>
      </c>
      <c r="E74" s="162">
        <f>E71/D71-1</f>
        <v>0</v>
      </c>
      <c r="F74" s="162">
        <f>F71/E71-1</f>
        <v>0</v>
      </c>
    </row>
    <row r="75" spans="2:6" ht="15.75" thickBot="1" x14ac:dyDescent="0.3">
      <c r="B75" s="62" t="s">
        <v>24</v>
      </c>
      <c r="C75" s="636" t="s">
        <v>23</v>
      </c>
      <c r="D75" s="162"/>
      <c r="E75" s="162">
        <f>E72/D72-1</f>
        <v>-0.11042944785276076</v>
      </c>
      <c r="F75" s="162">
        <f>F72/E72-1</f>
        <v>0</v>
      </c>
    </row>
    <row r="76" spans="2:6" ht="15.75" thickBot="1" x14ac:dyDescent="0.3">
      <c r="B76" s="62" t="s">
        <v>25</v>
      </c>
      <c r="C76" s="636" t="s">
        <v>23</v>
      </c>
      <c r="D76" s="162"/>
      <c r="E76" s="162">
        <f>E73/D73-1</f>
        <v>-0.11042944785276065</v>
      </c>
      <c r="F76" s="162">
        <f>F73/E73-1</f>
        <v>0</v>
      </c>
    </row>
    <row r="77" spans="2:6" ht="15.75" thickBot="1" x14ac:dyDescent="0.3">
      <c r="B77" s="1000" t="s">
        <v>1075</v>
      </c>
      <c r="C77" s="1001"/>
      <c r="D77" s="1001"/>
      <c r="E77" s="1001"/>
      <c r="F77" s="1002"/>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5" t="s">
        <v>58</v>
      </c>
      <c r="C80" s="164"/>
      <c r="D80" s="164"/>
      <c r="E80" s="164"/>
      <c r="F80" s="164"/>
    </row>
    <row r="81" spans="2:6" ht="15.75" thickBot="1" x14ac:dyDescent="0.3">
      <c r="B81" s="65" t="s">
        <v>59</v>
      </c>
      <c r="C81" s="165"/>
      <c r="D81" s="164">
        <v>815</v>
      </c>
      <c r="E81" s="161">
        <v>725</v>
      </c>
      <c r="F81" s="161">
        <v>725</v>
      </c>
    </row>
    <row r="82" spans="2:6" ht="15.75" thickBot="1" x14ac:dyDescent="0.3">
      <c r="B82" s="66" t="s">
        <v>40</v>
      </c>
      <c r="C82" s="165">
        <f>C81+C80</f>
        <v>0</v>
      </c>
      <c r="D82" s="165">
        <f>D81+D80</f>
        <v>815</v>
      </c>
      <c r="E82" s="165">
        <f>E81+E80</f>
        <v>725</v>
      </c>
      <c r="F82" s="165">
        <f>F81+F80</f>
        <v>725</v>
      </c>
    </row>
    <row r="83" spans="2:6" x14ac:dyDescent="0.25">
      <c r="B83" s="1015" t="s">
        <v>60</v>
      </c>
      <c r="C83" s="1036"/>
      <c r="D83" s="1037"/>
      <c r="E83" s="1037"/>
      <c r="F83" s="1038"/>
    </row>
    <row r="84" spans="2:6" x14ac:dyDescent="0.25">
      <c r="B84" s="1016"/>
      <c r="C84" s="1039"/>
      <c r="D84" s="1040"/>
      <c r="E84" s="1040"/>
      <c r="F84" s="1041"/>
    </row>
    <row r="85" spans="2:6" ht="15.75" thickBot="1" x14ac:dyDescent="0.3">
      <c r="B85" s="1017"/>
      <c r="C85" s="1042"/>
      <c r="D85" s="1043"/>
      <c r="E85" s="1043"/>
      <c r="F85" s="1044"/>
    </row>
    <row r="86" spans="2:6" ht="15.75" thickBot="1" x14ac:dyDescent="0.3">
      <c r="B86" s="989" t="s">
        <v>63</v>
      </c>
      <c r="C86" s="990"/>
      <c r="D86" s="990"/>
      <c r="E86" s="990"/>
      <c r="F86" s="991"/>
    </row>
    <row r="87" spans="2:6" ht="15.75" thickBot="1" x14ac:dyDescent="0.3">
      <c r="B87" s="989" t="s">
        <v>64</v>
      </c>
      <c r="C87" s="990"/>
      <c r="D87" s="990"/>
      <c r="E87" s="990"/>
      <c r="F87" s="991"/>
    </row>
    <row r="88" spans="2:6" ht="15.75" thickBot="1" x14ac:dyDescent="0.3">
      <c r="B88" s="67" t="s">
        <v>61</v>
      </c>
      <c r="C88" s="1009" t="s">
        <v>130</v>
      </c>
      <c r="D88" s="1010"/>
      <c r="E88" s="1010"/>
      <c r="F88" s="1011"/>
    </row>
    <row r="89" spans="2:6" ht="15.75" thickBot="1" x14ac:dyDescent="0.3">
      <c r="B89" s="160" t="s">
        <v>16</v>
      </c>
      <c r="C89" s="992" t="s">
        <v>106</v>
      </c>
      <c r="D89" s="993"/>
      <c r="E89" s="993"/>
      <c r="F89" s="994"/>
    </row>
    <row r="90" spans="2:6" ht="15.75" thickBot="1" x14ac:dyDescent="0.3">
      <c r="B90" s="62" t="s">
        <v>17</v>
      </c>
      <c r="C90" s="983" t="s">
        <v>106</v>
      </c>
      <c r="D90" s="984"/>
      <c r="E90" s="984"/>
      <c r="F90" s="985"/>
    </row>
    <row r="91" spans="2:6" ht="15.75" thickBot="1" x14ac:dyDescent="0.3">
      <c r="B91" s="62" t="s">
        <v>18</v>
      </c>
      <c r="C91" s="995" t="s">
        <v>106</v>
      </c>
      <c r="D91" s="996"/>
      <c r="E91" s="996"/>
      <c r="F91" s="997"/>
    </row>
    <row r="92" spans="2:6" x14ac:dyDescent="0.25">
      <c r="B92" s="998"/>
      <c r="C92" s="63">
        <v>2018</v>
      </c>
      <c r="D92" s="63">
        <v>2019</v>
      </c>
      <c r="E92" s="63">
        <v>2020</v>
      </c>
      <c r="F92" s="63">
        <v>2021</v>
      </c>
    </row>
    <row r="93" spans="2:6" ht="15.75" thickBot="1" x14ac:dyDescent="0.3">
      <c r="B93" s="999"/>
      <c r="C93" s="64" t="s">
        <v>10</v>
      </c>
      <c r="D93" s="64" t="s">
        <v>11</v>
      </c>
      <c r="E93" s="64" t="s">
        <v>11</v>
      </c>
      <c r="F93" s="64" t="s">
        <v>11</v>
      </c>
    </row>
    <row r="94" spans="2:6" ht="15.75" thickBot="1" x14ac:dyDescent="0.3">
      <c r="B94" s="62" t="s">
        <v>19</v>
      </c>
      <c r="C94" s="161"/>
      <c r="D94" s="161"/>
      <c r="E94" s="161"/>
      <c r="F94" s="161"/>
    </row>
    <row r="95" spans="2:6" ht="15.75" thickBot="1" x14ac:dyDescent="0.3">
      <c r="B95" s="62" t="s">
        <v>20</v>
      </c>
      <c r="C95" s="161"/>
      <c r="D95" s="161"/>
      <c r="E95" s="161"/>
      <c r="F95" s="161"/>
    </row>
    <row r="96" spans="2:6" ht="15.75" thickBot="1" x14ac:dyDescent="0.3">
      <c r="B96" s="62" t="s">
        <v>21</v>
      </c>
      <c r="C96" s="161"/>
      <c r="D96" s="161"/>
      <c r="E96" s="161"/>
      <c r="F96" s="161"/>
    </row>
    <row r="97" spans="2:6" ht="15.75" thickBot="1" x14ac:dyDescent="0.3">
      <c r="B97" s="62" t="s">
        <v>22</v>
      </c>
      <c r="C97" s="636" t="s">
        <v>23</v>
      </c>
      <c r="D97" s="162"/>
      <c r="E97" s="162"/>
      <c r="F97" s="162"/>
    </row>
    <row r="98" spans="2:6" ht="15.75" thickBot="1" x14ac:dyDescent="0.3">
      <c r="B98" s="62" t="s">
        <v>24</v>
      </c>
      <c r="C98" s="636" t="s">
        <v>23</v>
      </c>
      <c r="D98" s="162"/>
      <c r="E98" s="162"/>
      <c r="F98" s="162"/>
    </row>
    <row r="99" spans="2:6" ht="15.75" thickBot="1" x14ac:dyDescent="0.3">
      <c r="B99" s="62" t="s">
        <v>25</v>
      </c>
      <c r="C99" s="636" t="s">
        <v>23</v>
      </c>
      <c r="D99" s="162"/>
      <c r="E99" s="162"/>
      <c r="F99" s="162"/>
    </row>
    <row r="100" spans="2:6" ht="15.75" thickBot="1" x14ac:dyDescent="0.3">
      <c r="B100" s="1000" t="s">
        <v>1075</v>
      </c>
      <c r="C100" s="1001"/>
      <c r="D100" s="1001"/>
      <c r="E100" s="1001"/>
      <c r="F100" s="1002"/>
    </row>
    <row r="101" spans="2:6" x14ac:dyDescent="0.25">
      <c r="B101" s="998"/>
      <c r="C101" s="63">
        <v>2018</v>
      </c>
      <c r="D101" s="63">
        <v>2019</v>
      </c>
      <c r="E101" s="63">
        <v>2020</v>
      </c>
      <c r="F101" s="63">
        <v>2021</v>
      </c>
    </row>
    <row r="102" spans="2:6" ht="15.75" thickBot="1" x14ac:dyDescent="0.3">
      <c r="B102" s="999"/>
      <c r="C102" s="64" t="s">
        <v>10</v>
      </c>
      <c r="D102" s="64" t="s">
        <v>11</v>
      </c>
      <c r="E102" s="64" t="s">
        <v>11</v>
      </c>
      <c r="F102" s="64" t="s">
        <v>11</v>
      </c>
    </row>
    <row r="103" spans="2:6" ht="15.75" thickBot="1" x14ac:dyDescent="0.3">
      <c r="B103" s="65" t="s">
        <v>58</v>
      </c>
      <c r="C103" s="164"/>
      <c r="D103" s="164"/>
      <c r="E103" s="164"/>
      <c r="F103" s="164"/>
    </row>
    <row r="104" spans="2:6" ht="15.75" thickBot="1" x14ac:dyDescent="0.3">
      <c r="B104" s="65" t="s">
        <v>59</v>
      </c>
      <c r="C104" s="165"/>
      <c r="D104" s="164"/>
      <c r="E104" s="164"/>
      <c r="F104" s="164"/>
    </row>
    <row r="105" spans="2:6" ht="15.75" thickBot="1" x14ac:dyDescent="0.3">
      <c r="B105" s="66" t="s">
        <v>40</v>
      </c>
      <c r="C105" s="165">
        <f>C104+C103</f>
        <v>0</v>
      </c>
      <c r="D105" s="165">
        <f>D104+D103</f>
        <v>0</v>
      </c>
      <c r="E105" s="165">
        <f>E104+E103</f>
        <v>0</v>
      </c>
      <c r="F105" s="165">
        <f>F104+F103</f>
        <v>0</v>
      </c>
    </row>
    <row r="106" spans="2:6" x14ac:dyDescent="0.25">
      <c r="B106" s="1015" t="s">
        <v>60</v>
      </c>
      <c r="C106" s="1036"/>
      <c r="D106" s="1037"/>
      <c r="E106" s="1037"/>
      <c r="F106" s="1038"/>
    </row>
    <row r="107" spans="2:6" x14ac:dyDescent="0.25">
      <c r="B107" s="1016"/>
      <c r="C107" s="1039"/>
      <c r="D107" s="1040"/>
      <c r="E107" s="1040"/>
      <c r="F107" s="1041"/>
    </row>
    <row r="108" spans="2:6" ht="15.75" thickBot="1" x14ac:dyDescent="0.3">
      <c r="B108" s="1017"/>
      <c r="C108" s="1042"/>
      <c r="D108" s="1043"/>
      <c r="E108" s="1043"/>
      <c r="F108" s="1044"/>
    </row>
    <row r="109" spans="2:6" ht="57" customHeight="1" thickBot="1" x14ac:dyDescent="0.3">
      <c r="B109" s="158" t="s">
        <v>1341</v>
      </c>
      <c r="C109" s="1007" t="s">
        <v>1327</v>
      </c>
      <c r="D109" s="1006"/>
      <c r="E109" s="1006"/>
      <c r="F109" s="1008"/>
    </row>
    <row r="110" spans="2:6" ht="15.75" thickBot="1" x14ac:dyDescent="0.3">
      <c r="B110" s="983" t="s">
        <v>68</v>
      </c>
      <c r="C110" s="984"/>
      <c r="D110" s="984"/>
      <c r="E110" s="984"/>
      <c r="F110" s="985"/>
    </row>
    <row r="111" spans="2:6" ht="75.75" thickBot="1" x14ac:dyDescent="0.3">
      <c r="B111" s="643" t="s">
        <v>1328</v>
      </c>
      <c r="C111" s="234">
        <v>0.96299999999999997</v>
      </c>
      <c r="D111" s="234">
        <v>0.96299999999999997</v>
      </c>
      <c r="E111" s="234">
        <v>0.96499999999999997</v>
      </c>
      <c r="F111" s="234">
        <v>0.96499999999999997</v>
      </c>
    </row>
    <row r="112" spans="2:6" ht="45.75" thickBot="1" x14ac:dyDescent="0.3">
      <c r="B112" s="229" t="s">
        <v>1321</v>
      </c>
      <c r="C112" s="658">
        <v>0.87</v>
      </c>
      <c r="D112" s="658">
        <v>0.87</v>
      </c>
      <c r="E112" s="234">
        <v>0.875</v>
      </c>
      <c r="F112" s="234">
        <v>0.875</v>
      </c>
    </row>
    <row r="113" spans="2:6" ht="15.75" thickBot="1" x14ac:dyDescent="0.3">
      <c r="B113" s="1027" t="s">
        <v>69</v>
      </c>
      <c r="C113" s="1028"/>
      <c r="D113" s="1028"/>
      <c r="E113" s="1028"/>
      <c r="F113" s="1029"/>
    </row>
    <row r="114" spans="2:6" ht="15.75" thickBot="1" x14ac:dyDescent="0.3">
      <c r="B114" s="1030" t="s">
        <v>70</v>
      </c>
      <c r="C114" s="1031"/>
      <c r="D114" s="1031"/>
      <c r="E114" s="1031"/>
      <c r="F114" s="1032"/>
    </row>
    <row r="115" spans="2:6" x14ac:dyDescent="0.25">
      <c r="B115" s="998"/>
      <c r="C115" s="63">
        <v>2018</v>
      </c>
      <c r="D115" s="63">
        <v>2019</v>
      </c>
      <c r="E115" s="63">
        <v>2020</v>
      </c>
      <c r="F115" s="63">
        <v>2021</v>
      </c>
    </row>
    <row r="116" spans="2:6" ht="15.75" thickBot="1" x14ac:dyDescent="0.3">
      <c r="B116" s="999"/>
      <c r="C116" s="64" t="s">
        <v>10</v>
      </c>
      <c r="D116" s="64" t="s">
        <v>11</v>
      </c>
      <c r="E116" s="64" t="s">
        <v>11</v>
      </c>
      <c r="F116" s="64" t="s">
        <v>11</v>
      </c>
    </row>
    <row r="117" spans="2:6" ht="15.75" thickBot="1" x14ac:dyDescent="0.3">
      <c r="B117" s="160" t="s">
        <v>16</v>
      </c>
      <c r="C117" s="1635" t="s">
        <v>1329</v>
      </c>
      <c r="D117" s="1636"/>
      <c r="E117" s="1636"/>
      <c r="F117" s="1637"/>
    </row>
    <row r="118" spans="2:6" ht="39.75" customHeight="1" thickBot="1" x14ac:dyDescent="0.3">
      <c r="B118" s="62" t="s">
        <v>17</v>
      </c>
      <c r="C118" s="983" t="s">
        <v>1323</v>
      </c>
      <c r="D118" s="984"/>
      <c r="E118" s="984"/>
      <c r="F118" s="985"/>
    </row>
    <row r="119" spans="2:6" ht="15.75" thickBot="1" x14ac:dyDescent="0.3">
      <c r="B119" s="62" t="s">
        <v>18</v>
      </c>
      <c r="C119" s="995" t="s">
        <v>1330</v>
      </c>
      <c r="D119" s="996"/>
      <c r="E119" s="996"/>
      <c r="F119" s="997"/>
    </row>
    <row r="120" spans="2:6" x14ac:dyDescent="0.25">
      <c r="B120" s="998"/>
      <c r="C120" s="63">
        <v>2018</v>
      </c>
      <c r="D120" s="63">
        <v>2019</v>
      </c>
      <c r="E120" s="63">
        <v>2020</v>
      </c>
      <c r="F120" s="63">
        <v>2021</v>
      </c>
    </row>
    <row r="121" spans="2:6" ht="15.75" thickBot="1" x14ac:dyDescent="0.3">
      <c r="B121" s="999"/>
      <c r="C121" s="64" t="s">
        <v>10</v>
      </c>
      <c r="D121" s="64" t="s">
        <v>11</v>
      </c>
      <c r="E121" s="64" t="s">
        <v>11</v>
      </c>
      <c r="F121" s="64" t="s">
        <v>11</v>
      </c>
    </row>
    <row r="122" spans="2:6" ht="15.75" thickBot="1" x14ac:dyDescent="0.3">
      <c r="B122" s="62" t="s">
        <v>19</v>
      </c>
      <c r="C122" s="161">
        <v>4</v>
      </c>
      <c r="D122" s="203">
        <v>7</v>
      </c>
      <c r="E122" s="203">
        <v>7</v>
      </c>
      <c r="F122" s="203">
        <v>7</v>
      </c>
    </row>
    <row r="123" spans="2:6" ht="15.75" thickBot="1" x14ac:dyDescent="0.3">
      <c r="B123" s="62" t="s">
        <v>20</v>
      </c>
      <c r="C123" s="161">
        <f>C133+C136+C139</f>
        <v>17645</v>
      </c>
      <c r="D123" s="161">
        <f>D133+D136+D139</f>
        <v>17645</v>
      </c>
      <c r="E123" s="161">
        <f>E133+E136+E139</f>
        <v>17645</v>
      </c>
      <c r="F123" s="161">
        <f>F133+F136+F139</f>
        <v>17645</v>
      </c>
    </row>
    <row r="124" spans="2:6" ht="15.75" thickBot="1" x14ac:dyDescent="0.3">
      <c r="B124" s="62" t="s">
        <v>21</v>
      </c>
      <c r="C124" s="161">
        <f>C123/C122</f>
        <v>4411.25</v>
      </c>
      <c r="D124" s="161">
        <f>D123/D122</f>
        <v>2520.7142857142858</v>
      </c>
      <c r="E124" s="161">
        <f>E123/E122</f>
        <v>2520.7142857142858</v>
      </c>
      <c r="F124" s="161">
        <f>F123/F122</f>
        <v>2520.7142857142858</v>
      </c>
    </row>
    <row r="125" spans="2:6" ht="15.75" thickBot="1" x14ac:dyDescent="0.3">
      <c r="B125" s="62" t="s">
        <v>22</v>
      </c>
      <c r="C125" s="636"/>
      <c r="D125" s="162">
        <f>D122/C122-1</f>
        <v>0.75</v>
      </c>
      <c r="E125" s="162">
        <f t="shared" ref="E125:F127" si="1">E122/D122-1</f>
        <v>0</v>
      </c>
      <c r="F125" s="162">
        <f t="shared" si="1"/>
        <v>0</v>
      </c>
    </row>
    <row r="126" spans="2:6" ht="15.75" thickBot="1" x14ac:dyDescent="0.3">
      <c r="B126" s="62" t="s">
        <v>24</v>
      </c>
      <c r="C126" s="636"/>
      <c r="D126" s="162">
        <f>D123/C123-1</f>
        <v>0</v>
      </c>
      <c r="E126" s="162">
        <f t="shared" si="1"/>
        <v>0</v>
      </c>
      <c r="F126" s="162">
        <f t="shared" si="1"/>
        <v>0</v>
      </c>
    </row>
    <row r="127" spans="2:6" ht="15.75" thickBot="1" x14ac:dyDescent="0.3">
      <c r="B127" s="62" t="s">
        <v>25</v>
      </c>
      <c r="C127" s="636"/>
      <c r="D127" s="162">
        <f>D124/C124-1</f>
        <v>-0.4285714285714286</v>
      </c>
      <c r="E127" s="162">
        <f t="shared" si="1"/>
        <v>0</v>
      </c>
      <c r="F127" s="162">
        <f t="shared" si="1"/>
        <v>0</v>
      </c>
    </row>
    <row r="128" spans="2:6" x14ac:dyDescent="0.25">
      <c r="B128" s="998"/>
      <c r="C128" s="63">
        <v>2018</v>
      </c>
      <c r="D128" s="63">
        <v>2019</v>
      </c>
      <c r="E128" s="63">
        <v>2020</v>
      </c>
      <c r="F128" s="63">
        <v>2021</v>
      </c>
    </row>
    <row r="129" spans="2:6" ht="15.75" thickBot="1" x14ac:dyDescent="0.3">
      <c r="B129" s="999"/>
      <c r="C129" s="64" t="s">
        <v>10</v>
      </c>
      <c r="D129" s="64" t="s">
        <v>11</v>
      </c>
      <c r="E129" s="64" t="s">
        <v>11</v>
      </c>
      <c r="F129" s="64" t="s">
        <v>11</v>
      </c>
    </row>
    <row r="130" spans="2:6" ht="15.75" thickBot="1" x14ac:dyDescent="0.3">
      <c r="B130" s="1000" t="s">
        <v>1080</v>
      </c>
      <c r="C130" s="1001"/>
      <c r="D130" s="1001"/>
      <c r="E130" s="1001"/>
      <c r="F130" s="1002"/>
    </row>
    <row r="131" spans="2:6" x14ac:dyDescent="0.25">
      <c r="B131" s="998"/>
      <c r="C131" s="63">
        <v>2018</v>
      </c>
      <c r="D131" s="63">
        <v>2019</v>
      </c>
      <c r="E131" s="63">
        <v>2020</v>
      </c>
      <c r="F131" s="63">
        <v>2021</v>
      </c>
    </row>
    <row r="132" spans="2:6" ht="15.75" thickBot="1" x14ac:dyDescent="0.3">
      <c r="B132" s="999"/>
      <c r="C132" s="64" t="s">
        <v>10</v>
      </c>
      <c r="D132" s="64" t="s">
        <v>11</v>
      </c>
      <c r="E132" s="64" t="s">
        <v>11</v>
      </c>
      <c r="F132" s="64" t="s">
        <v>11</v>
      </c>
    </row>
    <row r="133" spans="2:6" ht="15.75" thickBot="1" x14ac:dyDescent="0.3">
      <c r="B133" s="65" t="s">
        <v>26</v>
      </c>
      <c r="C133" s="164">
        <v>13971</v>
      </c>
      <c r="D133" s="164">
        <v>13971</v>
      </c>
      <c r="E133" s="164">
        <v>13971</v>
      </c>
      <c r="F133" s="164">
        <v>13971</v>
      </c>
    </row>
    <row r="134" spans="2:6" ht="30.75" thickBot="1" x14ac:dyDescent="0.3">
      <c r="B134" s="181" t="s">
        <v>27</v>
      </c>
      <c r="C134" s="162">
        <f>C133/C123</f>
        <v>0.79178237461037126</v>
      </c>
      <c r="D134" s="162">
        <f>D133/D123</f>
        <v>0.79178237461037126</v>
      </c>
      <c r="E134" s="162">
        <f>E133/E123</f>
        <v>0.79178237461037126</v>
      </c>
      <c r="F134" s="162">
        <f>F133/F123</f>
        <v>0.79178237461037126</v>
      </c>
    </row>
    <row r="135" spans="2:6" ht="30.75" thickBot="1" x14ac:dyDescent="0.3">
      <c r="B135" s="181" t="s">
        <v>45</v>
      </c>
      <c r="C135" s="165"/>
      <c r="D135" s="182"/>
      <c r="E135" s="182"/>
      <c r="F135" s="182"/>
    </row>
    <row r="136" spans="2:6" ht="15.75" thickBot="1" x14ac:dyDescent="0.3">
      <c r="B136" s="65" t="s">
        <v>28</v>
      </c>
      <c r="C136" s="164">
        <v>1674</v>
      </c>
      <c r="D136" s="164">
        <v>1674</v>
      </c>
      <c r="E136" s="164">
        <v>1674</v>
      </c>
      <c r="F136" s="164">
        <v>1674</v>
      </c>
    </row>
    <row r="137" spans="2:6" ht="30.75" thickBot="1" x14ac:dyDescent="0.3">
      <c r="B137" s="181" t="s">
        <v>29</v>
      </c>
      <c r="C137" s="162">
        <f>C136/C123</f>
        <v>9.4871068291300653E-2</v>
      </c>
      <c r="D137" s="162">
        <f>D136/D123</f>
        <v>9.4871068291300653E-2</v>
      </c>
      <c r="E137" s="162">
        <f>E136/E123</f>
        <v>9.4871068291300653E-2</v>
      </c>
      <c r="F137" s="162">
        <f>F136/F123</f>
        <v>9.4871068291300653E-2</v>
      </c>
    </row>
    <row r="138" spans="2:6" ht="30.75" thickBot="1" x14ac:dyDescent="0.3">
      <c r="B138" s="181" t="s">
        <v>46</v>
      </c>
      <c r="C138" s="165"/>
      <c r="D138" s="164"/>
      <c r="E138" s="164"/>
      <c r="F138" s="164"/>
    </row>
    <row r="139" spans="2:6" ht="15.75" thickBot="1" x14ac:dyDescent="0.3">
      <c r="B139" s="65" t="s">
        <v>30</v>
      </c>
      <c r="C139" s="165">
        <v>2000</v>
      </c>
      <c r="D139" s="165">
        <v>2000</v>
      </c>
      <c r="E139" s="165">
        <v>2000</v>
      </c>
      <c r="F139" s="165">
        <v>2000</v>
      </c>
    </row>
    <row r="140" spans="2:6" ht="30.75" thickBot="1" x14ac:dyDescent="0.3">
      <c r="B140" s="181" t="s">
        <v>31</v>
      </c>
      <c r="C140" s="162">
        <f>C139/C123</f>
        <v>0.11334655709832814</v>
      </c>
      <c r="D140" s="162">
        <f>D139/D123</f>
        <v>0.11334655709832814</v>
      </c>
      <c r="E140" s="162">
        <f>E139/E123</f>
        <v>0.11334655709832814</v>
      </c>
      <c r="F140" s="162">
        <f>F139/F123</f>
        <v>0.11334655709832814</v>
      </c>
    </row>
    <row r="141" spans="2:6" ht="30.75" thickBot="1" x14ac:dyDescent="0.3">
      <c r="B141" s="181" t="s">
        <v>47</v>
      </c>
      <c r="C141" s="165"/>
      <c r="D141" s="164"/>
      <c r="E141" s="164"/>
      <c r="F141" s="164"/>
    </row>
    <row r="142" spans="2:6" ht="15.75" thickBot="1" x14ac:dyDescent="0.3">
      <c r="B142" s="65" t="s">
        <v>32</v>
      </c>
      <c r="C142" s="165"/>
      <c r="D142" s="164"/>
      <c r="E142" s="164"/>
      <c r="F142" s="164"/>
    </row>
    <row r="143" spans="2:6" ht="30.75" thickBot="1" x14ac:dyDescent="0.3">
      <c r="B143" s="181" t="s">
        <v>33</v>
      </c>
      <c r="C143" s="165"/>
      <c r="D143" s="164"/>
      <c r="E143" s="164"/>
      <c r="F143" s="164"/>
    </row>
    <row r="144" spans="2:6" ht="30.75" thickBot="1" x14ac:dyDescent="0.3">
      <c r="B144" s="181" t="s">
        <v>48</v>
      </c>
      <c r="C144" s="165"/>
      <c r="D144" s="164"/>
      <c r="E144" s="164"/>
      <c r="F144" s="164"/>
    </row>
    <row r="145" spans="2:6" ht="15.75" thickBot="1" x14ac:dyDescent="0.3">
      <c r="B145" s="65" t="s">
        <v>34</v>
      </c>
      <c r="C145" s="165"/>
      <c r="D145" s="164"/>
      <c r="E145" s="164"/>
      <c r="F145" s="164"/>
    </row>
    <row r="146" spans="2:6" ht="30.75" thickBot="1" x14ac:dyDescent="0.3">
      <c r="B146" s="181" t="s">
        <v>35</v>
      </c>
      <c r="C146" s="165"/>
      <c r="D146" s="164"/>
      <c r="E146" s="164"/>
      <c r="F146" s="164"/>
    </row>
    <row r="147" spans="2:6" ht="30.75" thickBot="1" x14ac:dyDescent="0.3">
      <c r="B147" s="181" t="s">
        <v>49</v>
      </c>
      <c r="C147" s="165"/>
      <c r="D147" s="164"/>
      <c r="E147" s="164"/>
      <c r="F147" s="164"/>
    </row>
    <row r="148" spans="2:6" ht="15.75" thickBot="1" x14ac:dyDescent="0.3">
      <c r="B148" s="65" t="s">
        <v>36</v>
      </c>
      <c r="C148" s="165"/>
      <c r="D148" s="164"/>
      <c r="E148" s="164"/>
      <c r="F148" s="164"/>
    </row>
    <row r="149" spans="2:6" ht="30.75" thickBot="1" x14ac:dyDescent="0.3">
      <c r="B149" s="181" t="s">
        <v>37</v>
      </c>
      <c r="C149" s="165"/>
      <c r="D149" s="164"/>
      <c r="E149" s="164"/>
      <c r="F149" s="164"/>
    </row>
    <row r="150" spans="2:6" ht="30.75" thickBot="1" x14ac:dyDescent="0.3">
      <c r="B150" s="181" t="s">
        <v>50</v>
      </c>
      <c r="C150" s="165"/>
      <c r="D150" s="164"/>
      <c r="E150" s="164"/>
      <c r="F150" s="164"/>
    </row>
    <row r="151" spans="2:6" ht="15.75" thickBot="1" x14ac:dyDescent="0.3">
      <c r="B151" s="65" t="s">
        <v>38</v>
      </c>
      <c r="C151" s="165"/>
      <c r="D151" s="164"/>
      <c r="E151" s="164"/>
      <c r="F151" s="164"/>
    </row>
    <row r="152" spans="2:6" ht="30.75" thickBot="1" x14ac:dyDescent="0.3">
      <c r="B152" s="181" t="s">
        <v>39</v>
      </c>
      <c r="C152" s="165"/>
      <c r="D152" s="164"/>
      <c r="E152" s="164"/>
      <c r="F152" s="164"/>
    </row>
    <row r="153" spans="2:6" ht="30.75" thickBot="1" x14ac:dyDescent="0.3">
      <c r="B153" s="181" t="s">
        <v>51</v>
      </c>
      <c r="C153" s="165"/>
      <c r="D153" s="164"/>
      <c r="E153" s="164"/>
      <c r="F153" s="164"/>
    </row>
    <row r="154" spans="2:6" ht="15.75" thickBot="1" x14ac:dyDescent="0.3">
      <c r="B154" s="204" t="s">
        <v>71</v>
      </c>
      <c r="C154" s="205">
        <f>C151+C148+C145+C142+C139+C136+C133</f>
        <v>17645</v>
      </c>
      <c r="D154" s="205">
        <f>D151+D148+D145+D142+D139+D136+D133</f>
        <v>17645</v>
      </c>
      <c r="E154" s="205">
        <f>E151+E148+E145+E142+E139+E136+E133</f>
        <v>17645</v>
      </c>
      <c r="F154" s="205">
        <f>F151+F148+F145+F142+F139+F136+F133</f>
        <v>17645</v>
      </c>
    </row>
    <row r="155" spans="2:6" x14ac:dyDescent="0.25">
      <c r="B155" s="1015" t="s">
        <v>119</v>
      </c>
      <c r="C155" s="1037" t="s">
        <v>23</v>
      </c>
      <c r="D155" s="1037"/>
      <c r="E155" s="1037"/>
      <c r="F155" s="1038"/>
    </row>
    <row r="156" spans="2:6" x14ac:dyDescent="0.25">
      <c r="B156" s="1016"/>
      <c r="C156" s="1040"/>
      <c r="D156" s="1040"/>
      <c r="E156" s="1040"/>
      <c r="F156" s="1041"/>
    </row>
    <row r="157" spans="2:6" ht="15.75" thickBot="1" x14ac:dyDescent="0.3">
      <c r="B157" s="1017"/>
      <c r="C157" s="1043"/>
      <c r="D157" s="1043"/>
      <c r="E157" s="1043"/>
      <c r="F157" s="1044"/>
    </row>
    <row r="158" spans="2:6" ht="15.75" thickBot="1" x14ac:dyDescent="0.3">
      <c r="B158" s="166" t="s">
        <v>41</v>
      </c>
      <c r="C158" s="167">
        <f>IF(C154-C123=0,0,"Error")</f>
        <v>0</v>
      </c>
      <c r="D158" s="167">
        <f>IF(D154-D123=0,0,"Error")</f>
        <v>0</v>
      </c>
      <c r="E158" s="167">
        <f>IF(E154-E123=0,0,"Error")</f>
        <v>0</v>
      </c>
      <c r="F158" s="167">
        <f>IF(F154-F123=0,0,"Error")</f>
        <v>0</v>
      </c>
    </row>
    <row r="159" spans="2:6" ht="15.75" thickBot="1" x14ac:dyDescent="0.3">
      <c r="B159" s="989" t="s">
        <v>63</v>
      </c>
      <c r="C159" s="990"/>
      <c r="D159" s="990"/>
      <c r="E159" s="990"/>
      <c r="F159" s="991"/>
    </row>
    <row r="160" spans="2:6" ht="15.75" thickBot="1" x14ac:dyDescent="0.3">
      <c r="B160" s="989" t="s">
        <v>56</v>
      </c>
      <c r="C160" s="990"/>
      <c r="D160" s="990"/>
      <c r="E160" s="990"/>
      <c r="F160" s="991"/>
    </row>
    <row r="161" spans="2:6" ht="15.75" thickBot="1" x14ac:dyDescent="0.3">
      <c r="B161" s="67" t="s">
        <v>61</v>
      </c>
      <c r="C161" s="1009" t="s">
        <v>1325</v>
      </c>
      <c r="D161" s="1010"/>
      <c r="E161" s="1010"/>
      <c r="F161" s="1011"/>
    </row>
    <row r="162" spans="2:6" ht="15.75" thickBot="1" x14ac:dyDescent="0.3">
      <c r="B162" s="160" t="s">
        <v>16</v>
      </c>
      <c r="C162" s="992" t="s">
        <v>1322</v>
      </c>
      <c r="D162" s="993"/>
      <c r="E162" s="993"/>
      <c r="F162" s="994"/>
    </row>
    <row r="163" spans="2:6" ht="39.75" customHeight="1" thickBot="1" x14ac:dyDescent="0.3">
      <c r="B163" s="62" t="s">
        <v>17</v>
      </c>
      <c r="C163" s="983" t="s">
        <v>1331</v>
      </c>
      <c r="D163" s="984"/>
      <c r="E163" s="984"/>
      <c r="F163" s="985"/>
    </row>
    <row r="164" spans="2:6" ht="15.75" thickBot="1" x14ac:dyDescent="0.3">
      <c r="B164" s="62" t="s">
        <v>18</v>
      </c>
      <c r="C164" s="995" t="s">
        <v>1324</v>
      </c>
      <c r="D164" s="996"/>
      <c r="E164" s="996"/>
      <c r="F164" s="997"/>
    </row>
    <row r="165" spans="2:6" x14ac:dyDescent="0.25">
      <c r="B165" s="998"/>
      <c r="C165" s="63">
        <v>2018</v>
      </c>
      <c r="D165" s="63">
        <v>2019</v>
      </c>
      <c r="E165" s="63">
        <v>2020</v>
      </c>
      <c r="F165" s="63">
        <v>2021</v>
      </c>
    </row>
    <row r="166" spans="2:6" ht="15.75" thickBot="1" x14ac:dyDescent="0.3">
      <c r="B166" s="999"/>
      <c r="C166" s="64" t="s">
        <v>10</v>
      </c>
      <c r="D166" s="64" t="s">
        <v>11</v>
      </c>
      <c r="E166" s="64" t="s">
        <v>11</v>
      </c>
      <c r="F166" s="64" t="s">
        <v>11</v>
      </c>
    </row>
    <row r="167" spans="2:6" ht="15.75" thickBot="1" x14ac:dyDescent="0.3">
      <c r="B167" s="62" t="s">
        <v>19</v>
      </c>
      <c r="C167" s="161">
        <v>4</v>
      </c>
      <c r="D167" s="203">
        <v>7</v>
      </c>
      <c r="E167" s="203">
        <v>7</v>
      </c>
      <c r="F167" s="203">
        <v>7</v>
      </c>
    </row>
    <row r="168" spans="2:6" ht="15.75" thickBot="1" x14ac:dyDescent="0.3">
      <c r="B168" s="62" t="s">
        <v>20</v>
      </c>
      <c r="C168" s="161"/>
      <c r="D168" s="161">
        <v>815</v>
      </c>
      <c r="E168" s="161">
        <v>725</v>
      </c>
      <c r="F168" s="161">
        <v>725</v>
      </c>
    </row>
    <row r="169" spans="2:6" ht="15.75" thickBot="1" x14ac:dyDescent="0.3">
      <c r="B169" s="62" t="s">
        <v>21</v>
      </c>
      <c r="C169" s="161">
        <f>C168/C167</f>
        <v>0</v>
      </c>
      <c r="D169" s="161">
        <f>D168/D167</f>
        <v>116.42857142857143</v>
      </c>
      <c r="E169" s="161">
        <f>E168/E167</f>
        <v>103.57142857142857</v>
      </c>
      <c r="F169" s="161">
        <f>F168/F167</f>
        <v>103.57142857142857</v>
      </c>
    </row>
    <row r="170" spans="2:6" ht="15.75" thickBot="1" x14ac:dyDescent="0.3">
      <c r="B170" s="62" t="s">
        <v>22</v>
      </c>
      <c r="C170" s="636" t="s">
        <v>23</v>
      </c>
      <c r="D170" s="162">
        <f>D167/C167-1</f>
        <v>0.75</v>
      </c>
      <c r="E170" s="162">
        <f>E167/D167-1</f>
        <v>0</v>
      </c>
      <c r="F170" s="162">
        <f>F167/E167-1</f>
        <v>0</v>
      </c>
    </row>
    <row r="171" spans="2:6" ht="15.75" thickBot="1" x14ac:dyDescent="0.3">
      <c r="B171" s="62" t="s">
        <v>24</v>
      </c>
      <c r="C171" s="636" t="s">
        <v>23</v>
      </c>
      <c r="D171" s="162"/>
      <c r="E171" s="162">
        <f>E168/D168-1</f>
        <v>-0.11042944785276076</v>
      </c>
      <c r="F171" s="162">
        <f>F168/E168-1</f>
        <v>0</v>
      </c>
    </row>
    <row r="172" spans="2:6" ht="15.75" thickBot="1" x14ac:dyDescent="0.3">
      <c r="B172" s="62" t="s">
        <v>25</v>
      </c>
      <c r="C172" s="636" t="s">
        <v>23</v>
      </c>
      <c r="D172" s="162"/>
      <c r="E172" s="162">
        <f>E169/D169-1</f>
        <v>-0.11042944785276076</v>
      </c>
      <c r="F172" s="162">
        <f>F169/E169-1</f>
        <v>0</v>
      </c>
    </row>
    <row r="173" spans="2:6" ht="15.75" thickBot="1" x14ac:dyDescent="0.3">
      <c r="B173" s="1000" t="s">
        <v>1075</v>
      </c>
      <c r="C173" s="1001"/>
      <c r="D173" s="1001"/>
      <c r="E173" s="1001"/>
      <c r="F173" s="1002"/>
    </row>
    <row r="174" spans="2:6" x14ac:dyDescent="0.25">
      <c r="B174" s="998"/>
      <c r="C174" s="63">
        <v>2018</v>
      </c>
      <c r="D174" s="63">
        <v>2019</v>
      </c>
      <c r="E174" s="63">
        <v>2020</v>
      </c>
      <c r="F174" s="63">
        <v>2021</v>
      </c>
    </row>
    <row r="175" spans="2:6" ht="15.75" thickBot="1" x14ac:dyDescent="0.3">
      <c r="B175" s="999"/>
      <c r="C175" s="64" t="s">
        <v>10</v>
      </c>
      <c r="D175" s="64" t="s">
        <v>11</v>
      </c>
      <c r="E175" s="64" t="s">
        <v>11</v>
      </c>
      <c r="F175" s="64" t="s">
        <v>11</v>
      </c>
    </row>
    <row r="176" spans="2:6" ht="15.75" thickBot="1" x14ac:dyDescent="0.3">
      <c r="B176" s="65" t="s">
        <v>58</v>
      </c>
      <c r="C176" s="164"/>
      <c r="D176" s="164"/>
      <c r="E176" s="164"/>
      <c r="F176" s="164"/>
    </row>
    <row r="177" spans="2:6" ht="15.75" thickBot="1" x14ac:dyDescent="0.3">
      <c r="B177" s="65" t="s">
        <v>59</v>
      </c>
      <c r="C177" s="165"/>
      <c r="D177" s="164">
        <v>815</v>
      </c>
      <c r="E177" s="161">
        <v>725</v>
      </c>
      <c r="F177" s="161">
        <v>725</v>
      </c>
    </row>
    <row r="178" spans="2:6" ht="15.75" thickBot="1" x14ac:dyDescent="0.3">
      <c r="B178" s="66" t="s">
        <v>40</v>
      </c>
      <c r="C178" s="165">
        <f>C177+C176</f>
        <v>0</v>
      </c>
      <c r="D178" s="165">
        <f>D177+D176</f>
        <v>815</v>
      </c>
      <c r="E178" s="165">
        <f>E177+E176</f>
        <v>725</v>
      </c>
      <c r="F178" s="165">
        <f>F177+F176</f>
        <v>725</v>
      </c>
    </row>
    <row r="179" spans="2:6" x14ac:dyDescent="0.25">
      <c r="B179" s="1015" t="s">
        <v>60</v>
      </c>
      <c r="C179" s="1036"/>
      <c r="D179" s="1037"/>
      <c r="E179" s="1037"/>
      <c r="F179" s="1038"/>
    </row>
    <row r="180" spans="2:6" x14ac:dyDescent="0.25">
      <c r="B180" s="1016"/>
      <c r="C180" s="1039"/>
      <c r="D180" s="1040"/>
      <c r="E180" s="1040"/>
      <c r="F180" s="1041"/>
    </row>
    <row r="181" spans="2:6" ht="15.75" thickBot="1" x14ac:dyDescent="0.3">
      <c r="B181" s="1017"/>
      <c r="C181" s="1042"/>
      <c r="D181" s="1043"/>
      <c r="E181" s="1043"/>
      <c r="F181" s="1044"/>
    </row>
    <row r="182" spans="2:6" ht="15.75" thickBot="1" x14ac:dyDescent="0.3">
      <c r="B182" s="989" t="s">
        <v>63</v>
      </c>
      <c r="C182" s="990"/>
      <c r="D182" s="990"/>
      <c r="E182" s="990"/>
      <c r="F182" s="991"/>
    </row>
    <row r="183" spans="2:6" ht="15.75" thickBot="1" x14ac:dyDescent="0.3">
      <c r="B183" s="989" t="s">
        <v>64</v>
      </c>
      <c r="C183" s="990"/>
      <c r="D183" s="990"/>
      <c r="E183" s="990"/>
      <c r="F183" s="991"/>
    </row>
    <row r="184" spans="2:6" ht="15.75" thickBot="1" x14ac:dyDescent="0.3">
      <c r="B184" s="67" t="s">
        <v>61</v>
      </c>
      <c r="C184" s="1009" t="s">
        <v>130</v>
      </c>
      <c r="D184" s="1010"/>
      <c r="E184" s="1010"/>
      <c r="F184" s="1011"/>
    </row>
    <row r="185" spans="2:6" ht="15.75" thickBot="1" x14ac:dyDescent="0.3">
      <c r="B185" s="160" t="s">
        <v>16</v>
      </c>
      <c r="C185" s="992" t="s">
        <v>106</v>
      </c>
      <c r="D185" s="993"/>
      <c r="E185" s="993"/>
      <c r="F185" s="994"/>
    </row>
    <row r="186" spans="2:6" ht="15.75" thickBot="1" x14ac:dyDescent="0.3">
      <c r="B186" s="62" t="s">
        <v>17</v>
      </c>
      <c r="C186" s="983" t="s">
        <v>106</v>
      </c>
      <c r="D186" s="984"/>
      <c r="E186" s="984"/>
      <c r="F186" s="985"/>
    </row>
    <row r="187" spans="2:6" ht="15.75" thickBot="1" x14ac:dyDescent="0.3">
      <c r="B187" s="62" t="s">
        <v>18</v>
      </c>
      <c r="C187" s="995" t="s">
        <v>106</v>
      </c>
      <c r="D187" s="996"/>
      <c r="E187" s="996"/>
      <c r="F187" s="997"/>
    </row>
    <row r="188" spans="2:6" x14ac:dyDescent="0.25">
      <c r="B188" s="998"/>
      <c r="C188" s="63">
        <v>2018</v>
      </c>
      <c r="D188" s="63">
        <v>2019</v>
      </c>
      <c r="E188" s="63">
        <v>2020</v>
      </c>
      <c r="F188" s="63">
        <v>2021</v>
      </c>
    </row>
    <row r="189" spans="2:6" ht="15.75" thickBot="1" x14ac:dyDescent="0.3">
      <c r="B189" s="999"/>
      <c r="C189" s="64" t="s">
        <v>10</v>
      </c>
      <c r="D189" s="64" t="s">
        <v>11</v>
      </c>
      <c r="E189" s="64" t="s">
        <v>11</v>
      </c>
      <c r="F189" s="64" t="s">
        <v>11</v>
      </c>
    </row>
    <row r="190" spans="2:6" ht="15.75" thickBot="1" x14ac:dyDescent="0.3">
      <c r="B190" s="62" t="s">
        <v>19</v>
      </c>
      <c r="C190" s="161"/>
      <c r="D190" s="161"/>
      <c r="E190" s="161"/>
      <c r="F190" s="161"/>
    </row>
    <row r="191" spans="2:6" ht="15.75" thickBot="1" x14ac:dyDescent="0.3">
      <c r="B191" s="62" t="s">
        <v>20</v>
      </c>
      <c r="C191" s="161"/>
      <c r="D191" s="161"/>
      <c r="E191" s="161"/>
      <c r="F191" s="161"/>
    </row>
    <row r="192" spans="2:6" ht="15.75" thickBot="1" x14ac:dyDescent="0.3">
      <c r="B192" s="62" t="s">
        <v>21</v>
      </c>
      <c r="C192" s="161"/>
      <c r="D192" s="161"/>
      <c r="E192" s="161"/>
      <c r="F192" s="161"/>
    </row>
    <row r="193" spans="2:6" ht="15.75" thickBot="1" x14ac:dyDescent="0.3">
      <c r="B193" s="62" t="s">
        <v>22</v>
      </c>
      <c r="C193" s="636" t="s">
        <v>23</v>
      </c>
      <c r="D193" s="162"/>
      <c r="E193" s="162"/>
      <c r="F193" s="162"/>
    </row>
    <row r="194" spans="2:6" ht="15.75" thickBot="1" x14ac:dyDescent="0.3">
      <c r="B194" s="62" t="s">
        <v>24</v>
      </c>
      <c r="C194" s="636"/>
      <c r="D194" s="162"/>
      <c r="E194" s="162"/>
      <c r="F194" s="162"/>
    </row>
    <row r="195" spans="2:6" ht="15.75" thickBot="1" x14ac:dyDescent="0.3">
      <c r="B195" s="62" t="s">
        <v>25</v>
      </c>
      <c r="C195" s="636" t="s">
        <v>23</v>
      </c>
      <c r="D195" s="162"/>
      <c r="E195" s="162"/>
      <c r="F195" s="162"/>
    </row>
    <row r="196" spans="2:6" ht="15.75" thickBot="1" x14ac:dyDescent="0.3">
      <c r="B196" s="1000" t="s">
        <v>1075</v>
      </c>
      <c r="C196" s="1001"/>
      <c r="D196" s="1001"/>
      <c r="E196" s="1001"/>
      <c r="F196" s="1002"/>
    </row>
    <row r="197" spans="2:6" x14ac:dyDescent="0.25">
      <c r="B197" s="998"/>
      <c r="C197" s="63">
        <v>2018</v>
      </c>
      <c r="D197" s="63">
        <v>2019</v>
      </c>
      <c r="E197" s="63">
        <v>2020</v>
      </c>
      <c r="F197" s="63">
        <v>2021</v>
      </c>
    </row>
    <row r="198" spans="2:6" ht="15.75" thickBot="1" x14ac:dyDescent="0.3">
      <c r="B198" s="999"/>
      <c r="C198" s="64" t="s">
        <v>10</v>
      </c>
      <c r="D198" s="64" t="s">
        <v>11</v>
      </c>
      <c r="E198" s="64" t="s">
        <v>11</v>
      </c>
      <c r="F198" s="64" t="s">
        <v>11</v>
      </c>
    </row>
    <row r="199" spans="2:6" ht="15.75" thickBot="1" x14ac:dyDescent="0.3">
      <c r="B199" s="65" t="s">
        <v>58</v>
      </c>
      <c r="C199" s="164"/>
      <c r="D199" s="164"/>
      <c r="E199" s="164"/>
      <c r="F199" s="164"/>
    </row>
    <row r="200" spans="2:6" ht="15.75" thickBot="1" x14ac:dyDescent="0.3">
      <c r="B200" s="65" t="s">
        <v>59</v>
      </c>
      <c r="C200" s="165"/>
      <c r="D200" s="164"/>
      <c r="E200" s="164"/>
      <c r="F200" s="164"/>
    </row>
    <row r="201" spans="2:6" ht="15.75" thickBot="1" x14ac:dyDescent="0.3">
      <c r="B201" s="66" t="s">
        <v>40</v>
      </c>
      <c r="C201" s="165">
        <f>C200+C199</f>
        <v>0</v>
      </c>
      <c r="D201" s="165">
        <f>D200+D199</f>
        <v>0</v>
      </c>
      <c r="E201" s="165">
        <f>E200+E199</f>
        <v>0</v>
      </c>
      <c r="F201" s="165">
        <f>F200+F199</f>
        <v>0</v>
      </c>
    </row>
    <row r="202" spans="2:6" x14ac:dyDescent="0.25">
      <c r="B202" s="1015" t="s">
        <v>60</v>
      </c>
      <c r="C202" s="1036"/>
      <c r="D202" s="1037"/>
      <c r="E202" s="1037"/>
      <c r="F202" s="1038"/>
    </row>
    <row r="203" spans="2:6" x14ac:dyDescent="0.25">
      <c r="B203" s="1016"/>
      <c r="C203" s="1039"/>
      <c r="D203" s="1040"/>
      <c r="E203" s="1040"/>
      <c r="F203" s="1041"/>
    </row>
    <row r="204" spans="2:6" ht="15.75" thickBot="1" x14ac:dyDescent="0.3">
      <c r="B204" s="1017"/>
      <c r="C204" s="1042"/>
      <c r="D204" s="1043"/>
      <c r="E204" s="1043"/>
      <c r="F204" s="1044"/>
    </row>
    <row r="205" spans="2:6" ht="15.75" thickBot="1" x14ac:dyDescent="0.3">
      <c r="B205" s="175"/>
      <c r="C205" s="176"/>
      <c r="D205" s="176"/>
      <c r="E205" s="176"/>
      <c r="F205" s="176"/>
    </row>
    <row r="206" spans="2:6" ht="30.75" thickBot="1" x14ac:dyDescent="0.3">
      <c r="B206" s="158" t="s">
        <v>82</v>
      </c>
      <c r="C206" s="177">
        <f>C191+C168+C123+C95+C72+C29</f>
        <v>44191</v>
      </c>
      <c r="D206" s="177">
        <f>D191+D168+D123+D95+D72+D29</f>
        <v>45821</v>
      </c>
      <c r="E206" s="177">
        <f>E191+E168+E123+E95+E72+E29</f>
        <v>45641</v>
      </c>
      <c r="F206" s="177">
        <f>F191+F168+F123+F95+F72+F29</f>
        <v>45641</v>
      </c>
    </row>
    <row r="207" spans="2:6" ht="30.75" thickBot="1" x14ac:dyDescent="0.3">
      <c r="B207" s="158" t="s">
        <v>83</v>
      </c>
      <c r="C207" s="177">
        <f>C209+C211+C213+C215+C217+C219+C221+C223+C225</f>
        <v>44191</v>
      </c>
      <c r="D207" s="177">
        <f>D209+D211+D213+D215+D217+D219+D221+D223+D225</f>
        <v>45821</v>
      </c>
      <c r="E207" s="177">
        <f>E209+E211+E213+E215+E217+E219+E221+E223+E225</f>
        <v>45641</v>
      </c>
      <c r="F207" s="177">
        <f>F209+F211+F213+F215+F217+F219+F221+F223+F225</f>
        <v>45641</v>
      </c>
    </row>
    <row r="208" spans="2:6" ht="15.75" thickBot="1" x14ac:dyDescent="0.3">
      <c r="B208" s="178" t="s">
        <v>84</v>
      </c>
      <c r="C208" s="179"/>
      <c r="D208" s="180">
        <f>D207/C207-1</f>
        <v>3.6885338643615206E-2</v>
      </c>
      <c r="E208" s="180">
        <f>E207/D207-1</f>
        <v>-3.9283298051111526E-3</v>
      </c>
      <c r="F208" s="180">
        <f>F207/E207-1</f>
        <v>0</v>
      </c>
    </row>
    <row r="209" spans="2:6" ht="15.75" thickBot="1" x14ac:dyDescent="0.3">
      <c r="B209" s="65" t="s">
        <v>26</v>
      </c>
      <c r="C209" s="164">
        <f>C133+C37</f>
        <v>30491</v>
      </c>
      <c r="D209" s="164">
        <f>D133+D37</f>
        <v>30491</v>
      </c>
      <c r="E209" s="164">
        <f>E133+E37</f>
        <v>30491</v>
      </c>
      <c r="F209" s="164">
        <f>F133+F37</f>
        <v>30491</v>
      </c>
    </row>
    <row r="210" spans="2:6" ht="15.75" thickBot="1" x14ac:dyDescent="0.3">
      <c r="B210" s="181" t="s">
        <v>85</v>
      </c>
      <c r="C210" s="165"/>
      <c r="D210" s="182">
        <f>D209/C209-1</f>
        <v>0</v>
      </c>
      <c r="E210" s="182">
        <f>E209/D209-1</f>
        <v>0</v>
      </c>
      <c r="F210" s="182">
        <f>F209/E209-1</f>
        <v>0</v>
      </c>
    </row>
    <row r="211" spans="2:6" ht="15.75" thickBot="1" x14ac:dyDescent="0.3">
      <c r="B211" s="65" t="s">
        <v>28</v>
      </c>
      <c r="C211" s="164">
        <f>C136+C40</f>
        <v>3700</v>
      </c>
      <c r="D211" s="164">
        <f>D136+D40</f>
        <v>3700</v>
      </c>
      <c r="E211" s="164">
        <f>E136+E40</f>
        <v>3700</v>
      </c>
      <c r="F211" s="164">
        <f>F136+F40</f>
        <v>3700</v>
      </c>
    </row>
    <row r="212" spans="2:6" ht="15.75" thickBot="1" x14ac:dyDescent="0.3">
      <c r="B212" s="181" t="s">
        <v>86</v>
      </c>
      <c r="C212" s="165"/>
      <c r="D212" s="182">
        <f>D211/C211-1</f>
        <v>0</v>
      </c>
      <c r="E212" s="182">
        <f>E211/D211-1</f>
        <v>0</v>
      </c>
      <c r="F212" s="182">
        <f>F211/E211-1</f>
        <v>0</v>
      </c>
    </row>
    <row r="213" spans="2:6" ht="15.75" thickBot="1" x14ac:dyDescent="0.3">
      <c r="B213" s="65" t="s">
        <v>30</v>
      </c>
      <c r="C213" s="164">
        <f>C139+C43</f>
        <v>10000</v>
      </c>
      <c r="D213" s="164">
        <f>D139+D43</f>
        <v>10000</v>
      </c>
      <c r="E213" s="164">
        <f>E139+E43</f>
        <v>10000</v>
      </c>
      <c r="F213" s="164">
        <f>F139+F43</f>
        <v>10000</v>
      </c>
    </row>
    <row r="214" spans="2:6" ht="15.75" thickBot="1" x14ac:dyDescent="0.3">
      <c r="B214" s="181" t="s">
        <v>87</v>
      </c>
      <c r="C214" s="165"/>
      <c r="D214" s="182">
        <f>D213/C213-1</f>
        <v>0</v>
      </c>
      <c r="E214" s="182">
        <f>E213/D213-1</f>
        <v>0</v>
      </c>
      <c r="F214" s="182">
        <f>F213/E213-1</f>
        <v>0</v>
      </c>
    </row>
    <row r="215" spans="2:6" ht="15.75" thickBot="1" x14ac:dyDescent="0.3">
      <c r="B215" s="65" t="s">
        <v>32</v>
      </c>
      <c r="C215" s="164">
        <f>C142+C46</f>
        <v>0</v>
      </c>
      <c r="D215" s="164">
        <f>D142+D46</f>
        <v>0</v>
      </c>
      <c r="E215" s="164">
        <f>E142+E46</f>
        <v>0</v>
      </c>
      <c r="F215" s="164">
        <f>F142+F46</f>
        <v>0</v>
      </c>
    </row>
    <row r="216" spans="2:6" ht="15.75" thickBot="1" x14ac:dyDescent="0.3">
      <c r="B216" s="181" t="s">
        <v>88</v>
      </c>
      <c r="C216" s="165"/>
      <c r="D216" s="182"/>
      <c r="E216" s="182"/>
      <c r="F216" s="182"/>
    </row>
    <row r="217" spans="2:6" ht="15.75" thickBot="1" x14ac:dyDescent="0.3">
      <c r="B217" s="65" t="s">
        <v>34</v>
      </c>
      <c r="C217" s="164">
        <f>C145+C49</f>
        <v>0</v>
      </c>
      <c r="D217" s="164">
        <f>D145+D49</f>
        <v>0</v>
      </c>
      <c r="E217" s="164">
        <f>E145+E49</f>
        <v>0</v>
      </c>
      <c r="F217" s="164">
        <f>F145+F49</f>
        <v>0</v>
      </c>
    </row>
    <row r="218" spans="2:6" ht="15.75" thickBot="1" x14ac:dyDescent="0.3">
      <c r="B218" s="181" t="s">
        <v>89</v>
      </c>
      <c r="C218" s="165"/>
      <c r="D218" s="182"/>
      <c r="E218" s="182"/>
      <c r="F218" s="182"/>
    </row>
    <row r="219" spans="2:6" ht="15.75" thickBot="1" x14ac:dyDescent="0.3">
      <c r="B219" s="65" t="s">
        <v>36</v>
      </c>
      <c r="C219" s="164">
        <f>C148+C52</f>
        <v>0</v>
      </c>
      <c r="D219" s="164">
        <f>D148+D52</f>
        <v>0</v>
      </c>
      <c r="E219" s="164">
        <f>E148+E52</f>
        <v>0</v>
      </c>
      <c r="F219" s="164">
        <f>F148+F52</f>
        <v>0</v>
      </c>
    </row>
    <row r="220" spans="2:6" ht="15.75" thickBot="1" x14ac:dyDescent="0.3">
      <c r="B220" s="181" t="s">
        <v>90</v>
      </c>
      <c r="C220" s="165"/>
      <c r="D220" s="182"/>
      <c r="E220" s="182"/>
      <c r="F220" s="182"/>
    </row>
    <row r="221" spans="2:6" ht="15.75" thickBot="1" x14ac:dyDescent="0.3">
      <c r="B221" s="65" t="s">
        <v>38</v>
      </c>
      <c r="C221" s="164">
        <f>C151+C55</f>
        <v>0</v>
      </c>
      <c r="D221" s="164">
        <f>D151+D55</f>
        <v>0</v>
      </c>
      <c r="E221" s="164">
        <f>E151+E55</f>
        <v>0</v>
      </c>
      <c r="F221" s="164">
        <f>F151+F55</f>
        <v>0</v>
      </c>
    </row>
    <row r="222" spans="2:6" ht="15.75" thickBot="1" x14ac:dyDescent="0.3">
      <c r="B222" s="181" t="s">
        <v>91</v>
      </c>
      <c r="C222" s="165"/>
      <c r="D222" s="182"/>
      <c r="E222" s="182"/>
      <c r="F222" s="182"/>
    </row>
    <row r="223" spans="2:6" ht="15.75" thickBot="1" x14ac:dyDescent="0.3">
      <c r="B223" s="65" t="s">
        <v>92</v>
      </c>
      <c r="C223" s="164">
        <f>C80+C103+C176+C199</f>
        <v>0</v>
      </c>
      <c r="D223" s="164">
        <f>D80+D103+D176+D199</f>
        <v>0</v>
      </c>
      <c r="E223" s="164">
        <f>E80+E103+E176+E199</f>
        <v>0</v>
      </c>
      <c r="F223" s="164">
        <f>F80+F103+F176+F199</f>
        <v>0</v>
      </c>
    </row>
    <row r="224" spans="2:6" ht="15.75" thickBot="1" x14ac:dyDescent="0.3">
      <c r="B224" s="181" t="s">
        <v>93</v>
      </c>
      <c r="C224" s="165"/>
      <c r="D224" s="182"/>
      <c r="E224" s="182"/>
      <c r="F224" s="182"/>
    </row>
    <row r="225" spans="2:6" ht="15.75" thickBot="1" x14ac:dyDescent="0.3">
      <c r="B225" s="65" t="s">
        <v>94</v>
      </c>
      <c r="C225" s="164">
        <f>C81+C104+C177+C200</f>
        <v>0</v>
      </c>
      <c r="D225" s="164">
        <f>D81+D104+D177+D200</f>
        <v>1630</v>
      </c>
      <c r="E225" s="164">
        <f>E81+E104+E177+E200</f>
        <v>1450</v>
      </c>
      <c r="F225" s="164">
        <f>F81+F104+F177+F200</f>
        <v>1450</v>
      </c>
    </row>
    <row r="226" spans="2:6" ht="15.75" thickBot="1" x14ac:dyDescent="0.3">
      <c r="B226" s="181" t="s">
        <v>95</v>
      </c>
      <c r="C226" s="165"/>
      <c r="D226" s="182"/>
      <c r="E226" s="182">
        <f>E225/D225-1</f>
        <v>-0.11042944785276076</v>
      </c>
      <c r="F226" s="182">
        <f>F225/E225-1</f>
        <v>0</v>
      </c>
    </row>
    <row r="227" spans="2:6" x14ac:dyDescent="0.25">
      <c r="B227" s="1220" t="s">
        <v>1342</v>
      </c>
      <c r="C227" s="1223"/>
      <c r="D227" s="1223"/>
      <c r="E227" s="1223"/>
      <c r="F227" s="1224"/>
    </row>
    <row r="228" spans="2:6" x14ac:dyDescent="0.25">
      <c r="B228" s="1221"/>
      <c r="C228" s="1225"/>
      <c r="D228" s="1225"/>
      <c r="E228" s="1225"/>
      <c r="F228" s="1226"/>
    </row>
    <row r="229" spans="2:6" ht="15.75" thickBot="1" x14ac:dyDescent="0.3">
      <c r="B229" s="1222"/>
      <c r="C229" s="1227"/>
      <c r="D229" s="1227"/>
      <c r="E229" s="1227"/>
      <c r="F229" s="1228"/>
    </row>
    <row r="230" spans="2:6" ht="15.75" thickBot="1" x14ac:dyDescent="0.3">
      <c r="B230" s="166" t="s">
        <v>41</v>
      </c>
      <c r="C230" s="167">
        <f>IF(C207-C206=0,0,"Error")</f>
        <v>0</v>
      </c>
      <c r="D230" s="167">
        <f>IF(D207-D206=0,0,"Error")</f>
        <v>0</v>
      </c>
      <c r="E230" s="167">
        <f>IF(E207-E206=0,0,"Error")</f>
        <v>0</v>
      </c>
      <c r="F230" s="167">
        <f>IF(F207-F206=0,0,"Error")</f>
        <v>0</v>
      </c>
    </row>
    <row r="231" spans="2:6" ht="15.75" thickBot="1" x14ac:dyDescent="0.3">
      <c r="B231" s="183" t="s">
        <v>96</v>
      </c>
      <c r="C231" s="164">
        <v>21</v>
      </c>
      <c r="D231" s="164">
        <v>24</v>
      </c>
      <c r="E231" s="164">
        <v>24</v>
      </c>
      <c r="F231" s="164">
        <v>24</v>
      </c>
    </row>
    <row r="232" spans="2:6" ht="30.75" thickBot="1" x14ac:dyDescent="0.3">
      <c r="B232" s="183" t="s">
        <v>97</v>
      </c>
      <c r="C232" s="164" t="s">
        <v>23</v>
      </c>
      <c r="D232" s="164" t="s">
        <v>23</v>
      </c>
      <c r="E232" s="164" t="s">
        <v>23</v>
      </c>
      <c r="F232" s="164" t="s">
        <v>23</v>
      </c>
    </row>
  </sheetData>
  <mergeCells count="79">
    <mergeCell ref="B196:F196"/>
    <mergeCell ref="B197:B198"/>
    <mergeCell ref="B202:B204"/>
    <mergeCell ref="C202:F204"/>
    <mergeCell ref="B227:B229"/>
    <mergeCell ref="C227:F229"/>
    <mergeCell ref="B188:B189"/>
    <mergeCell ref="B165:B166"/>
    <mergeCell ref="B173:F173"/>
    <mergeCell ref="B174:B175"/>
    <mergeCell ref="B179:B181"/>
    <mergeCell ref="C179:F181"/>
    <mergeCell ref="B182:F182"/>
    <mergeCell ref="B183:F183"/>
    <mergeCell ref="C184:F184"/>
    <mergeCell ref="C185:F185"/>
    <mergeCell ref="C186:F186"/>
    <mergeCell ref="C187:F187"/>
    <mergeCell ref="C164:F164"/>
    <mergeCell ref="B120:B121"/>
    <mergeCell ref="B128:B129"/>
    <mergeCell ref="B130:F130"/>
    <mergeCell ref="B131:B132"/>
    <mergeCell ref="B155:B157"/>
    <mergeCell ref="C155:F157"/>
    <mergeCell ref="B159:F159"/>
    <mergeCell ref="B160:F160"/>
    <mergeCell ref="C161:F161"/>
    <mergeCell ref="C162:F162"/>
    <mergeCell ref="C163:F163"/>
    <mergeCell ref="C119:F119"/>
    <mergeCell ref="B100:F100"/>
    <mergeCell ref="B101:B102"/>
    <mergeCell ref="B106:B108"/>
    <mergeCell ref="C106:F108"/>
    <mergeCell ref="C109:F109"/>
    <mergeCell ref="B110:F110"/>
    <mergeCell ref="B113:F113"/>
    <mergeCell ref="B114:F114"/>
    <mergeCell ref="B115:B116"/>
    <mergeCell ref="C117:F117"/>
    <mergeCell ref="C118:F118"/>
    <mergeCell ref="B92:B93"/>
    <mergeCell ref="B69:B70"/>
    <mergeCell ref="B77:F77"/>
    <mergeCell ref="B78:B79"/>
    <mergeCell ref="B83:B85"/>
    <mergeCell ref="C83:F85"/>
    <mergeCell ref="B86:F86"/>
    <mergeCell ref="B87:F87"/>
    <mergeCell ref="C88:F88"/>
    <mergeCell ref="C89:F89"/>
    <mergeCell ref="C90:F90"/>
    <mergeCell ref="C91:F91"/>
    <mergeCell ref="C68:F68"/>
    <mergeCell ref="C24:F24"/>
    <mergeCell ref="C25:F25"/>
    <mergeCell ref="B26:B27"/>
    <mergeCell ref="B34:F34"/>
    <mergeCell ref="B35:B36"/>
    <mergeCell ref="B59:B61"/>
    <mergeCell ref="C59:F61"/>
    <mergeCell ref="B63:F63"/>
    <mergeCell ref="B64:F64"/>
    <mergeCell ref="C65:F65"/>
    <mergeCell ref="C66:F66"/>
    <mergeCell ref="C67:F67"/>
    <mergeCell ref="C23:F23"/>
    <mergeCell ref="C4:F4"/>
    <mergeCell ref="C5:F5"/>
    <mergeCell ref="C6:F6"/>
    <mergeCell ref="B7:F7"/>
    <mergeCell ref="B8:F10"/>
    <mergeCell ref="C11:F11"/>
    <mergeCell ref="B12:B13"/>
    <mergeCell ref="C17:F17"/>
    <mergeCell ref="B18:F18"/>
    <mergeCell ref="B21:F21"/>
    <mergeCell ref="B22:F22"/>
  </mergeCells>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155"/>
  <sheetViews>
    <sheetView topLeftCell="A114" workbookViewId="0">
      <selection activeCell="M16" sqref="M16"/>
    </sheetView>
  </sheetViews>
  <sheetFormatPr defaultRowHeight="15" x14ac:dyDescent="0.25"/>
  <cols>
    <col min="1" max="1" width="17.42578125" style="152" customWidth="1"/>
    <col min="2" max="2" width="44.42578125" style="152" customWidth="1"/>
    <col min="3" max="3" width="17.42578125" style="152" customWidth="1"/>
    <col min="4" max="6" width="21.42578125" style="152" customWidth="1"/>
    <col min="7" max="16384" width="9.140625" style="152"/>
  </cols>
  <sheetData>
    <row r="3" spans="2:6" x14ac:dyDescent="0.25">
      <c r="B3" s="762" t="s">
        <v>0</v>
      </c>
      <c r="C3" s="762"/>
      <c r="D3" s="762"/>
      <c r="E3" s="762"/>
      <c r="F3" s="762"/>
    </row>
    <row r="4" spans="2:6" ht="15.75" thickBot="1" x14ac:dyDescent="0.3"/>
    <row r="5" spans="2:6" ht="15.75" thickBot="1" x14ac:dyDescent="0.3">
      <c r="B5" s="153" t="s">
        <v>2</v>
      </c>
      <c r="C5" s="979" t="s">
        <v>1343</v>
      </c>
      <c r="D5" s="979"/>
      <c r="E5" s="979"/>
      <c r="F5" s="979"/>
    </row>
    <row r="6" spans="2:6" ht="15.75" thickBot="1" x14ac:dyDescent="0.3">
      <c r="B6" s="153" t="s">
        <v>3</v>
      </c>
      <c r="C6" s="1048" t="s">
        <v>1344</v>
      </c>
      <c r="D6" s="981"/>
      <c r="E6" s="981"/>
      <c r="F6" s="982"/>
    </row>
    <row r="7" spans="2:6" ht="15.75" thickBot="1" x14ac:dyDescent="0.3">
      <c r="B7" s="153" t="s">
        <v>5</v>
      </c>
      <c r="C7" s="983" t="s">
        <v>6</v>
      </c>
      <c r="D7" s="984"/>
      <c r="E7" s="984"/>
      <c r="F7" s="985"/>
    </row>
    <row r="8" spans="2:6" ht="15.75" thickBot="1" x14ac:dyDescent="0.3">
      <c r="B8" s="986" t="s">
        <v>7</v>
      </c>
      <c r="C8" s="987"/>
      <c r="D8" s="987"/>
      <c r="E8" s="987"/>
      <c r="F8" s="988"/>
    </row>
    <row r="9" spans="2:6" ht="15.75" thickBot="1" x14ac:dyDescent="0.3">
      <c r="B9" s="1003" t="s">
        <v>1345</v>
      </c>
      <c r="C9" s="1004"/>
      <c r="D9" s="1004"/>
      <c r="E9" s="1004"/>
      <c r="F9" s="1005"/>
    </row>
    <row r="10" spans="2:6" ht="15.75" thickBot="1" x14ac:dyDescent="0.3">
      <c r="B10" s="1003"/>
      <c r="C10" s="1004"/>
      <c r="D10" s="1004"/>
      <c r="E10" s="1004"/>
      <c r="F10" s="1005"/>
    </row>
    <row r="11" spans="2:6" ht="65.25" customHeight="1" thickBot="1" x14ac:dyDescent="0.3">
      <c r="B11" s="1003"/>
      <c r="C11" s="1004"/>
      <c r="D11" s="1004"/>
      <c r="E11" s="1004"/>
      <c r="F11" s="1005"/>
    </row>
    <row r="12" spans="2:6" ht="51" customHeight="1" thickBot="1" x14ac:dyDescent="0.3">
      <c r="B12" s="154" t="s">
        <v>8</v>
      </c>
      <c r="C12" s="1006" t="s">
        <v>1346</v>
      </c>
      <c r="D12" s="993"/>
      <c r="E12" s="993"/>
      <c r="F12" s="994"/>
    </row>
    <row r="13" spans="2:6" x14ac:dyDescent="0.25">
      <c r="B13" s="998" t="s">
        <v>102</v>
      </c>
      <c r="C13" s="640">
        <v>2018</v>
      </c>
      <c r="D13" s="640">
        <v>2019</v>
      </c>
      <c r="E13" s="640">
        <v>2020</v>
      </c>
      <c r="F13" s="640">
        <v>2021</v>
      </c>
    </row>
    <row r="14" spans="2:6" ht="15.75" thickBot="1" x14ac:dyDescent="0.3">
      <c r="B14" s="999"/>
      <c r="C14" s="641" t="s">
        <v>10</v>
      </c>
      <c r="D14" s="641" t="s">
        <v>11</v>
      </c>
      <c r="E14" s="641" t="s">
        <v>11</v>
      </c>
      <c r="F14" s="641" t="s">
        <v>11</v>
      </c>
    </row>
    <row r="15" spans="2:6" ht="15.75" thickBot="1" x14ac:dyDescent="0.3">
      <c r="B15" s="637" t="s">
        <v>1347</v>
      </c>
      <c r="C15" s="665">
        <v>483</v>
      </c>
      <c r="D15" s="665">
        <v>483</v>
      </c>
      <c r="E15" s="665">
        <v>483</v>
      </c>
      <c r="F15" s="665">
        <v>483</v>
      </c>
    </row>
    <row r="16" spans="2:6" ht="30.75" thickBot="1" x14ac:dyDescent="0.3">
      <c r="B16" s="62" t="s">
        <v>1348</v>
      </c>
      <c r="C16" s="665">
        <v>9</v>
      </c>
      <c r="D16" s="665">
        <v>10</v>
      </c>
      <c r="E16" s="665">
        <v>12</v>
      </c>
      <c r="F16" s="665">
        <v>12</v>
      </c>
    </row>
    <row r="17" spans="2:6" ht="30.75" thickBot="1" x14ac:dyDescent="0.3">
      <c r="B17" s="62" t="s">
        <v>1349</v>
      </c>
      <c r="C17" s="157">
        <v>0.6</v>
      </c>
      <c r="D17" s="157">
        <v>0.65</v>
      </c>
      <c r="E17" s="157">
        <v>0.7</v>
      </c>
      <c r="F17" s="157">
        <v>0.73</v>
      </c>
    </row>
    <row r="18" spans="2:6" ht="30.75" thickBot="1" x14ac:dyDescent="0.3">
      <c r="B18" s="62" t="s">
        <v>1350</v>
      </c>
      <c r="C18" s="665">
        <v>10</v>
      </c>
      <c r="D18" s="665">
        <v>10</v>
      </c>
      <c r="E18" s="665">
        <v>10</v>
      </c>
      <c r="F18" s="665">
        <v>10</v>
      </c>
    </row>
    <row r="19" spans="2:6" ht="15.75" thickBot="1" x14ac:dyDescent="0.3">
      <c r="B19" s="158" t="s">
        <v>12</v>
      </c>
      <c r="C19" s="1007" t="s">
        <v>1351</v>
      </c>
      <c r="D19" s="1006"/>
      <c r="E19" s="1006"/>
      <c r="F19" s="1008"/>
    </row>
    <row r="20" spans="2:6" ht="15.75" thickBot="1" x14ac:dyDescent="0.3">
      <c r="B20" s="983" t="s">
        <v>103</v>
      </c>
      <c r="C20" s="984"/>
      <c r="D20" s="984"/>
      <c r="E20" s="984"/>
      <c r="F20" s="985"/>
    </row>
    <row r="21" spans="2:6" ht="30.75" thickBot="1" x14ac:dyDescent="0.3">
      <c r="B21" s="637" t="s">
        <v>1352</v>
      </c>
      <c r="C21" s="665">
        <v>9</v>
      </c>
      <c r="D21" s="665">
        <v>18</v>
      </c>
      <c r="E21" s="665">
        <v>27</v>
      </c>
      <c r="F21" s="665">
        <v>36</v>
      </c>
    </row>
    <row r="22" spans="2:6" ht="30.75" thickBot="1" x14ac:dyDescent="0.3">
      <c r="B22" s="62" t="s">
        <v>1353</v>
      </c>
      <c r="C22" s="665">
        <v>220</v>
      </c>
      <c r="D22" s="665">
        <v>250</v>
      </c>
      <c r="E22" s="665">
        <v>280</v>
      </c>
      <c r="F22" s="665">
        <v>310</v>
      </c>
    </row>
    <row r="23" spans="2:6" ht="15.75" thickBot="1" x14ac:dyDescent="0.3">
      <c r="B23" s="62" t="s">
        <v>1354</v>
      </c>
      <c r="C23" s="722">
        <v>0.2</v>
      </c>
      <c r="D23" s="722">
        <v>0.15</v>
      </c>
      <c r="E23" s="722">
        <v>0.13</v>
      </c>
      <c r="F23" s="722">
        <v>0.1</v>
      </c>
    </row>
    <row r="24" spans="2:6" ht="15.75" thickBot="1" x14ac:dyDescent="0.3">
      <c r="B24" s="989" t="s">
        <v>14</v>
      </c>
      <c r="C24" s="990"/>
      <c r="D24" s="990"/>
      <c r="E24" s="990"/>
      <c r="F24" s="991"/>
    </row>
    <row r="25" spans="2:6" ht="15.75" thickBot="1" x14ac:dyDescent="0.3">
      <c r="B25" s="989" t="s">
        <v>104</v>
      </c>
      <c r="C25" s="990"/>
      <c r="D25" s="990"/>
      <c r="E25" s="990"/>
      <c r="F25" s="991"/>
    </row>
    <row r="26" spans="2:6" ht="15.75" thickBot="1" x14ac:dyDescent="0.3">
      <c r="B26" s="160" t="s">
        <v>105</v>
      </c>
      <c r="C26" s="992" t="s">
        <v>1355</v>
      </c>
      <c r="D26" s="993"/>
      <c r="E26" s="993"/>
      <c r="F26" s="994"/>
    </row>
    <row r="27" spans="2:6" ht="15.75" thickBot="1" x14ac:dyDescent="0.3">
      <c r="B27" s="62" t="s">
        <v>17</v>
      </c>
      <c r="C27" s="983" t="s">
        <v>1356</v>
      </c>
      <c r="D27" s="984"/>
      <c r="E27" s="984"/>
      <c r="F27" s="985"/>
    </row>
    <row r="28" spans="2:6" ht="15.75" thickBot="1" x14ac:dyDescent="0.3">
      <c r="B28" s="62" t="s">
        <v>18</v>
      </c>
      <c r="C28" s="995" t="s">
        <v>1357</v>
      </c>
      <c r="D28" s="996"/>
      <c r="E28" s="996"/>
      <c r="F28" s="997"/>
    </row>
    <row r="29" spans="2:6" x14ac:dyDescent="0.25">
      <c r="B29" s="998"/>
      <c r="C29" s="63">
        <v>2018</v>
      </c>
      <c r="D29" s="63">
        <v>2019</v>
      </c>
      <c r="E29" s="63">
        <v>2020</v>
      </c>
      <c r="F29" s="63">
        <v>2021</v>
      </c>
    </row>
    <row r="30" spans="2:6" ht="15.75" thickBot="1" x14ac:dyDescent="0.3">
      <c r="B30" s="999"/>
      <c r="C30" s="64" t="s">
        <v>10</v>
      </c>
      <c r="D30" s="64" t="s">
        <v>11</v>
      </c>
      <c r="E30" s="64" t="s">
        <v>11</v>
      </c>
      <c r="F30" s="64" t="s">
        <v>11</v>
      </c>
    </row>
    <row r="31" spans="2:6" ht="15.75" thickBot="1" x14ac:dyDescent="0.3">
      <c r="B31" s="62" t="s">
        <v>19</v>
      </c>
      <c r="C31" s="161">
        <v>1</v>
      </c>
      <c r="D31" s="161">
        <v>1</v>
      </c>
      <c r="E31" s="161">
        <v>1</v>
      </c>
      <c r="F31" s="161">
        <v>1</v>
      </c>
    </row>
    <row r="32" spans="2:6" ht="15.75" thickBot="1" x14ac:dyDescent="0.3">
      <c r="B32" s="62" t="s">
        <v>20</v>
      </c>
      <c r="C32" s="161">
        <v>171796</v>
      </c>
      <c r="D32" s="161">
        <v>220000</v>
      </c>
      <c r="E32" s="161">
        <v>276000</v>
      </c>
      <c r="F32" s="161">
        <v>330950</v>
      </c>
    </row>
    <row r="33" spans="2:6" ht="15.75" thickBot="1" x14ac:dyDescent="0.3">
      <c r="B33" s="62" t="s">
        <v>21</v>
      </c>
      <c r="C33" s="161">
        <f>C32/C31</f>
        <v>171796</v>
      </c>
      <c r="D33" s="161">
        <f t="shared" ref="D33:F33" si="0">D32/D31</f>
        <v>220000</v>
      </c>
      <c r="E33" s="161">
        <f t="shared" si="0"/>
        <v>276000</v>
      </c>
      <c r="F33" s="161">
        <f t="shared" si="0"/>
        <v>330950</v>
      </c>
    </row>
    <row r="34" spans="2:6" ht="15.75" thickBot="1" x14ac:dyDescent="0.3">
      <c r="B34" s="62" t="s">
        <v>22</v>
      </c>
      <c r="C34" s="636" t="s">
        <v>23</v>
      </c>
      <c r="D34" s="162">
        <f>D31/C31-1</f>
        <v>0</v>
      </c>
      <c r="E34" s="162">
        <f t="shared" ref="E34:F36" si="1">E31/D31-1</f>
        <v>0</v>
      </c>
      <c r="F34" s="162">
        <f t="shared" si="1"/>
        <v>0</v>
      </c>
    </row>
    <row r="35" spans="2:6" ht="15.75" thickBot="1" x14ac:dyDescent="0.3">
      <c r="B35" s="62" t="s">
        <v>24</v>
      </c>
      <c r="C35" s="636" t="s">
        <v>23</v>
      </c>
      <c r="D35" s="162">
        <f>D32/C32-1</f>
        <v>0.28058860508975769</v>
      </c>
      <c r="E35" s="162">
        <f t="shared" si="1"/>
        <v>0.25454545454545463</v>
      </c>
      <c r="F35" s="162">
        <f t="shared" si="1"/>
        <v>0.19909420289855073</v>
      </c>
    </row>
    <row r="36" spans="2:6" ht="15.75" thickBot="1" x14ac:dyDescent="0.3">
      <c r="B36" s="62" t="s">
        <v>25</v>
      </c>
      <c r="C36" s="636" t="s">
        <v>23</v>
      </c>
      <c r="D36" s="162">
        <f>D33/C33-1</f>
        <v>0.28058860508975769</v>
      </c>
      <c r="E36" s="162">
        <f t="shared" si="1"/>
        <v>0.25454545454545463</v>
      </c>
      <c r="F36" s="162">
        <f t="shared" si="1"/>
        <v>0.19909420289855073</v>
      </c>
    </row>
    <row r="37" spans="2:6" ht="15.75" thickBot="1" x14ac:dyDescent="0.3">
      <c r="B37" s="1000" t="s">
        <v>784</v>
      </c>
      <c r="C37" s="1001"/>
      <c r="D37" s="1001"/>
      <c r="E37" s="1001"/>
      <c r="F37" s="1002"/>
    </row>
    <row r="38" spans="2:6" x14ac:dyDescent="0.25">
      <c r="B38" s="998"/>
      <c r="C38" s="63">
        <v>2018</v>
      </c>
      <c r="D38" s="63">
        <v>2019</v>
      </c>
      <c r="E38" s="63">
        <v>2020</v>
      </c>
      <c r="F38" s="63">
        <v>2021</v>
      </c>
    </row>
    <row r="39" spans="2:6" ht="15.75" thickBot="1" x14ac:dyDescent="0.3">
      <c r="B39" s="999"/>
      <c r="C39" s="64" t="s">
        <v>10</v>
      </c>
      <c r="D39" s="64" t="s">
        <v>11</v>
      </c>
      <c r="E39" s="64" t="s">
        <v>11</v>
      </c>
      <c r="F39" s="64" t="s">
        <v>11</v>
      </c>
    </row>
    <row r="40" spans="2:6" ht="15.75" thickBot="1" x14ac:dyDescent="0.3">
      <c r="B40" s="65" t="s">
        <v>26</v>
      </c>
      <c r="C40" s="164">
        <v>130000</v>
      </c>
      <c r="D40" s="164">
        <v>157000</v>
      </c>
      <c r="E40" s="164">
        <v>197000</v>
      </c>
      <c r="F40" s="164">
        <v>236450</v>
      </c>
    </row>
    <row r="41" spans="2:6" ht="15.75" thickBot="1" x14ac:dyDescent="0.3">
      <c r="B41" s="65" t="s">
        <v>28</v>
      </c>
      <c r="C41" s="164">
        <v>21796</v>
      </c>
      <c r="D41" s="164">
        <v>26400</v>
      </c>
      <c r="E41" s="164">
        <v>33000</v>
      </c>
      <c r="F41" s="164">
        <v>39500</v>
      </c>
    </row>
    <row r="42" spans="2:6" ht="15.75" thickBot="1" x14ac:dyDescent="0.3">
      <c r="B42" s="65" t="s">
        <v>30</v>
      </c>
      <c r="C42" s="165">
        <v>20000</v>
      </c>
      <c r="D42" s="164">
        <v>36600</v>
      </c>
      <c r="E42" s="164">
        <v>46000</v>
      </c>
      <c r="F42" s="164">
        <v>55000</v>
      </c>
    </row>
    <row r="43" spans="2:6" ht="15.75" thickBot="1" x14ac:dyDescent="0.3">
      <c r="B43" s="65" t="s">
        <v>32</v>
      </c>
      <c r="C43" s="165">
        <v>0</v>
      </c>
      <c r="D43" s="164">
        <v>0</v>
      </c>
      <c r="E43" s="164">
        <v>0</v>
      </c>
      <c r="F43" s="164">
        <v>0</v>
      </c>
    </row>
    <row r="44" spans="2:6" ht="15.75" thickBot="1" x14ac:dyDescent="0.3">
      <c r="B44" s="65" t="s">
        <v>34</v>
      </c>
      <c r="C44" s="165">
        <v>0</v>
      </c>
      <c r="D44" s="165">
        <v>0</v>
      </c>
      <c r="E44" s="165">
        <v>0</v>
      </c>
      <c r="F44" s="165">
        <v>0</v>
      </c>
    </row>
    <row r="45" spans="2:6" ht="15.75" thickBot="1" x14ac:dyDescent="0.3">
      <c r="B45" s="65" t="s">
        <v>36</v>
      </c>
      <c r="C45" s="165">
        <v>0</v>
      </c>
      <c r="D45" s="165">
        <v>0</v>
      </c>
      <c r="E45" s="165">
        <v>0</v>
      </c>
      <c r="F45" s="165">
        <v>0</v>
      </c>
    </row>
    <row r="46" spans="2:6" ht="15.75" thickBot="1" x14ac:dyDescent="0.3">
      <c r="B46" s="65" t="s">
        <v>38</v>
      </c>
      <c r="C46" s="165">
        <v>0</v>
      </c>
      <c r="D46" s="165">
        <v>0</v>
      </c>
      <c r="E46" s="165">
        <v>0</v>
      </c>
      <c r="F46" s="165">
        <v>0</v>
      </c>
    </row>
    <row r="47" spans="2:6" ht="15.75" thickBot="1" x14ac:dyDescent="0.3">
      <c r="B47" s="66" t="s">
        <v>40</v>
      </c>
      <c r="C47" s="165">
        <f>C46+C45+C44+C43+C42+C41+C40</f>
        <v>171796</v>
      </c>
      <c r="D47" s="165">
        <f>D46+D45+D44+D43+D42+D41+D40</f>
        <v>220000</v>
      </c>
      <c r="E47" s="165">
        <f>E46+E45+E44+E43+E42+E41+E40</f>
        <v>276000</v>
      </c>
      <c r="F47" s="165">
        <f>F46+F45+F44+F43+F42+F41+F40</f>
        <v>330950</v>
      </c>
    </row>
    <row r="48" spans="2:6" ht="15.75" thickBot="1" x14ac:dyDescent="0.3">
      <c r="B48" s="166" t="s">
        <v>41</v>
      </c>
      <c r="C48" s="167">
        <f>IF(C47-C32=0,0,"Error")</f>
        <v>0</v>
      </c>
      <c r="D48" s="167">
        <f>IF(D47-D32=0,0,"Error")</f>
        <v>0</v>
      </c>
      <c r="E48" s="167">
        <f>IF(E47-E32=0,0,"Error")</f>
        <v>0</v>
      </c>
      <c r="F48" s="167">
        <f>IF(F47-F32=0,0,"Error")</f>
        <v>0</v>
      </c>
    </row>
    <row r="49" spans="2:6" ht="15.75" thickBot="1" x14ac:dyDescent="0.3">
      <c r="B49" s="989" t="s">
        <v>63</v>
      </c>
      <c r="C49" s="990"/>
      <c r="D49" s="990"/>
      <c r="E49" s="990"/>
      <c r="F49" s="991"/>
    </row>
    <row r="50" spans="2:6" ht="15.75" thickBot="1" x14ac:dyDescent="0.3">
      <c r="B50" s="989" t="s">
        <v>56</v>
      </c>
      <c r="C50" s="990"/>
      <c r="D50" s="990"/>
      <c r="E50" s="990"/>
      <c r="F50" s="991"/>
    </row>
    <row r="51" spans="2:6" ht="15.75" thickBot="1" x14ac:dyDescent="0.3">
      <c r="B51" s="67" t="s">
        <v>1358</v>
      </c>
      <c r="C51" s="1009" t="s">
        <v>1359</v>
      </c>
      <c r="D51" s="1010"/>
      <c r="E51" s="1010"/>
      <c r="F51" s="1011"/>
    </row>
    <row r="52" spans="2:6" ht="15.75" thickBot="1" x14ac:dyDescent="0.3">
      <c r="B52" s="160" t="s">
        <v>16</v>
      </c>
      <c r="C52" s="992" t="s">
        <v>1360</v>
      </c>
      <c r="D52" s="993"/>
      <c r="E52" s="993"/>
      <c r="F52" s="994"/>
    </row>
    <row r="53" spans="2:6" ht="15.75" thickBot="1" x14ac:dyDescent="0.3">
      <c r="B53" s="62" t="s">
        <v>17</v>
      </c>
      <c r="C53" s="983" t="s">
        <v>1361</v>
      </c>
      <c r="D53" s="984"/>
      <c r="E53" s="984"/>
      <c r="F53" s="985"/>
    </row>
    <row r="54" spans="2:6" ht="15.75" thickBot="1" x14ac:dyDescent="0.3">
      <c r="B54" s="62" t="s">
        <v>18</v>
      </c>
      <c r="C54" s="995" t="s">
        <v>1362</v>
      </c>
      <c r="D54" s="996"/>
      <c r="E54" s="996"/>
      <c r="F54" s="997"/>
    </row>
    <row r="55" spans="2:6" x14ac:dyDescent="0.25">
      <c r="B55" s="998"/>
      <c r="C55" s="63">
        <v>2018</v>
      </c>
      <c r="D55" s="63">
        <v>2019</v>
      </c>
      <c r="E55" s="63">
        <v>2020</v>
      </c>
      <c r="F55" s="63">
        <v>2021</v>
      </c>
    </row>
    <row r="56" spans="2:6" ht="15.75" thickBot="1" x14ac:dyDescent="0.3">
      <c r="B56" s="999"/>
      <c r="C56" s="64" t="s">
        <v>10</v>
      </c>
      <c r="D56" s="64" t="s">
        <v>11</v>
      </c>
      <c r="E56" s="64" t="s">
        <v>11</v>
      </c>
      <c r="F56" s="64" t="s">
        <v>11</v>
      </c>
    </row>
    <row r="57" spans="2:6" ht="15.75" thickBot="1" x14ac:dyDescent="0.3">
      <c r="B57" s="62" t="s">
        <v>19</v>
      </c>
      <c r="C57" s="161">
        <v>1</v>
      </c>
      <c r="D57" s="161"/>
      <c r="E57" s="161"/>
      <c r="F57" s="161"/>
    </row>
    <row r="58" spans="2:6" ht="15.75" thickBot="1" x14ac:dyDescent="0.3">
      <c r="B58" s="62" t="s">
        <v>20</v>
      </c>
      <c r="C58" s="161">
        <v>26477.73</v>
      </c>
      <c r="D58" s="161"/>
      <c r="E58" s="161"/>
      <c r="F58" s="161"/>
    </row>
    <row r="59" spans="2:6" ht="15.75" thickBot="1" x14ac:dyDescent="0.3">
      <c r="B59" s="62" t="s">
        <v>21</v>
      </c>
      <c r="C59" s="161">
        <f>C58/C57</f>
        <v>26477.73</v>
      </c>
      <c r="D59" s="161">
        <v>0</v>
      </c>
      <c r="E59" s="161">
        <v>0</v>
      </c>
      <c r="F59" s="161">
        <v>0</v>
      </c>
    </row>
    <row r="60" spans="2:6" ht="15.75" thickBot="1" x14ac:dyDescent="0.3">
      <c r="B60" s="62" t="s">
        <v>22</v>
      </c>
      <c r="C60" s="636" t="s">
        <v>23</v>
      </c>
      <c r="D60" s="162">
        <v>0</v>
      </c>
      <c r="E60" s="162">
        <v>0</v>
      </c>
      <c r="F60" s="162">
        <v>0</v>
      </c>
    </row>
    <row r="61" spans="2:6" ht="15.75" thickBot="1" x14ac:dyDescent="0.3">
      <c r="B61" s="62" t="s">
        <v>24</v>
      </c>
      <c r="C61" s="636" t="s">
        <v>23</v>
      </c>
      <c r="D61" s="162">
        <v>0</v>
      </c>
      <c r="E61" s="162">
        <v>0</v>
      </c>
      <c r="F61" s="162">
        <v>0</v>
      </c>
    </row>
    <row r="62" spans="2:6" ht="15.75" thickBot="1" x14ac:dyDescent="0.3">
      <c r="B62" s="62" t="s">
        <v>25</v>
      </c>
      <c r="C62" s="636" t="s">
        <v>23</v>
      </c>
      <c r="D62" s="162">
        <v>0</v>
      </c>
      <c r="E62" s="162">
        <v>0</v>
      </c>
      <c r="F62" s="162">
        <v>0</v>
      </c>
    </row>
    <row r="63" spans="2:6" ht="15.75" thickBot="1" x14ac:dyDescent="0.3">
      <c r="B63" s="1000" t="s">
        <v>784</v>
      </c>
      <c r="C63" s="1001"/>
      <c r="D63" s="1001"/>
      <c r="E63" s="1001"/>
      <c r="F63" s="1002"/>
    </row>
    <row r="64" spans="2:6" x14ac:dyDescent="0.25">
      <c r="B64" s="998"/>
      <c r="C64" s="63">
        <v>2018</v>
      </c>
      <c r="D64" s="63">
        <v>2019</v>
      </c>
      <c r="E64" s="63">
        <v>2020</v>
      </c>
      <c r="F64" s="63">
        <v>2021</v>
      </c>
    </row>
    <row r="65" spans="2:6" ht="15.75" thickBot="1" x14ac:dyDescent="0.3">
      <c r="B65" s="999"/>
      <c r="C65" s="64" t="s">
        <v>10</v>
      </c>
      <c r="D65" s="64" t="s">
        <v>11</v>
      </c>
      <c r="E65" s="64" t="s">
        <v>11</v>
      </c>
      <c r="F65" s="64" t="s">
        <v>11</v>
      </c>
    </row>
    <row r="66" spans="2:6" ht="15.75" thickBot="1" x14ac:dyDescent="0.3">
      <c r="B66" s="65" t="s">
        <v>58</v>
      </c>
      <c r="C66" s="164">
        <f>C58</f>
        <v>26477.73</v>
      </c>
      <c r="D66" s="164">
        <v>0</v>
      </c>
      <c r="E66" s="164">
        <v>0</v>
      </c>
      <c r="F66" s="164">
        <v>0</v>
      </c>
    </row>
    <row r="67" spans="2:6" ht="15.75" thickBot="1" x14ac:dyDescent="0.3">
      <c r="B67" s="65" t="s">
        <v>59</v>
      </c>
      <c r="C67" s="165">
        <v>0</v>
      </c>
      <c r="D67" s="164">
        <v>0</v>
      </c>
      <c r="E67" s="164">
        <v>0</v>
      </c>
      <c r="F67" s="164">
        <v>0</v>
      </c>
    </row>
    <row r="68" spans="2:6" ht="15.75" thickBot="1" x14ac:dyDescent="0.3">
      <c r="B68" s="66" t="s">
        <v>40</v>
      </c>
      <c r="C68" s="165">
        <f>C67+C66</f>
        <v>26477.73</v>
      </c>
      <c r="D68" s="165">
        <f t="shared" ref="D68:F68" si="2">D67+D66</f>
        <v>0</v>
      </c>
      <c r="E68" s="165">
        <f t="shared" si="2"/>
        <v>0</v>
      </c>
      <c r="F68" s="165">
        <f t="shared" si="2"/>
        <v>0</v>
      </c>
    </row>
    <row r="69" spans="2:6" x14ac:dyDescent="0.25">
      <c r="B69" s="1015" t="s">
        <v>60</v>
      </c>
      <c r="C69" s="1036" t="s">
        <v>1363</v>
      </c>
      <c r="D69" s="1037"/>
      <c r="E69" s="1037"/>
      <c r="F69" s="1038"/>
    </row>
    <row r="70" spans="2:6" x14ac:dyDescent="0.25">
      <c r="B70" s="1016"/>
      <c r="C70" s="1039"/>
      <c r="D70" s="1040"/>
      <c r="E70" s="1040"/>
      <c r="F70" s="1041"/>
    </row>
    <row r="71" spans="2:6" ht="15.75" thickBot="1" x14ac:dyDescent="0.3">
      <c r="B71" s="1017"/>
      <c r="C71" s="1042"/>
      <c r="D71" s="1043"/>
      <c r="E71" s="1043"/>
      <c r="F71" s="1044"/>
    </row>
    <row r="72" spans="2:6" ht="15.75" thickBot="1" x14ac:dyDescent="0.3">
      <c r="B72" s="67" t="s">
        <v>1364</v>
      </c>
      <c r="C72" s="1009" t="s">
        <v>1365</v>
      </c>
      <c r="D72" s="1010"/>
      <c r="E72" s="1010"/>
      <c r="F72" s="1011"/>
    </row>
    <row r="73" spans="2:6" ht="15.75" thickBot="1" x14ac:dyDescent="0.3">
      <c r="B73" s="160" t="s">
        <v>16</v>
      </c>
      <c r="C73" s="992" t="s">
        <v>1366</v>
      </c>
      <c r="D73" s="993"/>
      <c r="E73" s="993"/>
      <c r="F73" s="994"/>
    </row>
    <row r="74" spans="2:6" ht="15.75" thickBot="1" x14ac:dyDescent="0.3">
      <c r="B74" s="62" t="s">
        <v>17</v>
      </c>
      <c r="C74" s="983" t="s">
        <v>1367</v>
      </c>
      <c r="D74" s="984"/>
      <c r="E74" s="984"/>
      <c r="F74" s="985"/>
    </row>
    <row r="75" spans="2:6" ht="15.75" thickBot="1" x14ac:dyDescent="0.3">
      <c r="B75" s="62" t="s">
        <v>18</v>
      </c>
      <c r="C75" s="995" t="s">
        <v>536</v>
      </c>
      <c r="D75" s="996"/>
      <c r="E75" s="996"/>
      <c r="F75" s="997"/>
    </row>
    <row r="76" spans="2:6" x14ac:dyDescent="0.25">
      <c r="B76" s="998"/>
      <c r="C76" s="63">
        <v>2018</v>
      </c>
      <c r="D76" s="63">
        <v>2019</v>
      </c>
      <c r="E76" s="63">
        <v>2020</v>
      </c>
      <c r="F76" s="63">
        <v>2021</v>
      </c>
    </row>
    <row r="77" spans="2:6" ht="15.75" thickBot="1" x14ac:dyDescent="0.3">
      <c r="B77" s="999"/>
      <c r="C77" s="64" t="s">
        <v>10</v>
      </c>
      <c r="D77" s="64" t="s">
        <v>11</v>
      </c>
      <c r="E77" s="64" t="s">
        <v>11</v>
      </c>
      <c r="F77" s="64" t="s">
        <v>11</v>
      </c>
    </row>
    <row r="78" spans="2:6" ht="15.75" thickBot="1" x14ac:dyDescent="0.3">
      <c r="B78" s="62" t="s">
        <v>19</v>
      </c>
      <c r="C78" s="161">
        <v>130</v>
      </c>
      <c r="D78" s="161">
        <v>90</v>
      </c>
      <c r="E78" s="161">
        <v>90</v>
      </c>
      <c r="F78" s="161">
        <v>90</v>
      </c>
    </row>
    <row r="79" spans="2:6" ht="15.75" thickBot="1" x14ac:dyDescent="0.3">
      <c r="B79" s="62" t="s">
        <v>20</v>
      </c>
      <c r="C79" s="161">
        <v>10880.183999999999</v>
      </c>
      <c r="D79" s="161">
        <v>21000</v>
      </c>
      <c r="E79" s="161">
        <v>21000</v>
      </c>
      <c r="F79" s="161">
        <v>21000</v>
      </c>
    </row>
    <row r="80" spans="2:6" ht="15.75" thickBot="1" x14ac:dyDescent="0.3">
      <c r="B80" s="62" t="s">
        <v>21</v>
      </c>
      <c r="C80" s="161">
        <f>C79/C78</f>
        <v>83.693723076923078</v>
      </c>
      <c r="D80" s="161">
        <f t="shared" ref="D80:F80" si="3">D79/D78</f>
        <v>233.33333333333334</v>
      </c>
      <c r="E80" s="161">
        <f t="shared" si="3"/>
        <v>233.33333333333334</v>
      </c>
      <c r="F80" s="161">
        <f t="shared" si="3"/>
        <v>233.33333333333334</v>
      </c>
    </row>
    <row r="81" spans="2:6" ht="15.75" thickBot="1" x14ac:dyDescent="0.3">
      <c r="B81" s="62" t="s">
        <v>22</v>
      </c>
      <c r="C81" s="636" t="s">
        <v>23</v>
      </c>
      <c r="D81" s="162">
        <f>D78/C78-1</f>
        <v>-0.30769230769230771</v>
      </c>
      <c r="E81" s="162">
        <f t="shared" ref="E81:F83" si="4">E78/D78-1</f>
        <v>0</v>
      </c>
      <c r="F81" s="162">
        <f t="shared" si="4"/>
        <v>0</v>
      </c>
    </row>
    <row r="82" spans="2:6" ht="15.75" thickBot="1" x14ac:dyDescent="0.3">
      <c r="B82" s="62" t="s">
        <v>24</v>
      </c>
      <c r="C82" s="636" t="s">
        <v>23</v>
      </c>
      <c r="D82" s="162">
        <f>D79/C79-1</f>
        <v>0.93011441718265075</v>
      </c>
      <c r="E82" s="162">
        <f t="shared" si="4"/>
        <v>0</v>
      </c>
      <c r="F82" s="162">
        <f t="shared" si="4"/>
        <v>0</v>
      </c>
    </row>
    <row r="83" spans="2:6" ht="15.75" thickBot="1" x14ac:dyDescent="0.3">
      <c r="B83" s="62" t="s">
        <v>25</v>
      </c>
      <c r="C83" s="636" t="s">
        <v>23</v>
      </c>
      <c r="D83" s="162">
        <f>D80/C80-1</f>
        <v>1.7879430470416064</v>
      </c>
      <c r="E83" s="162">
        <f>E80/D80-1</f>
        <v>0</v>
      </c>
      <c r="F83" s="162">
        <f t="shared" si="4"/>
        <v>0</v>
      </c>
    </row>
    <row r="84" spans="2:6" ht="15.75" thickBot="1" x14ac:dyDescent="0.3">
      <c r="B84" s="1000" t="s">
        <v>784</v>
      </c>
      <c r="C84" s="1001"/>
      <c r="D84" s="1001"/>
      <c r="E84" s="1001"/>
      <c r="F84" s="1002"/>
    </row>
    <row r="85" spans="2:6" x14ac:dyDescent="0.25">
      <c r="B85" s="998"/>
      <c r="C85" s="63">
        <v>2018</v>
      </c>
      <c r="D85" s="63">
        <v>2019</v>
      </c>
      <c r="E85" s="63">
        <v>2020</v>
      </c>
      <c r="F85" s="63">
        <v>2021</v>
      </c>
    </row>
    <row r="86" spans="2:6" ht="15.75" thickBot="1" x14ac:dyDescent="0.3">
      <c r="B86" s="999"/>
      <c r="C86" s="64" t="s">
        <v>10</v>
      </c>
      <c r="D86" s="64" t="s">
        <v>11</v>
      </c>
      <c r="E86" s="64" t="s">
        <v>11</v>
      </c>
      <c r="F86" s="64" t="s">
        <v>11</v>
      </c>
    </row>
    <row r="87" spans="2:6" ht="15.75" thickBot="1" x14ac:dyDescent="0.3">
      <c r="B87" s="65" t="s">
        <v>58</v>
      </c>
      <c r="C87" s="164">
        <v>0</v>
      </c>
      <c r="D87" s="164"/>
      <c r="E87" s="164"/>
      <c r="F87" s="164"/>
    </row>
    <row r="88" spans="2:6" ht="15.75" thickBot="1" x14ac:dyDescent="0.3">
      <c r="B88" s="65" t="s">
        <v>59</v>
      </c>
      <c r="C88" s="165">
        <f>C79</f>
        <v>10880.183999999999</v>
      </c>
      <c r="D88" s="164">
        <f>D79</f>
        <v>21000</v>
      </c>
      <c r="E88" s="164">
        <f>E79</f>
        <v>21000</v>
      </c>
      <c r="F88" s="164">
        <f>F79</f>
        <v>21000</v>
      </c>
    </row>
    <row r="89" spans="2:6" ht="15.75" thickBot="1" x14ac:dyDescent="0.3">
      <c r="B89" s="66" t="s">
        <v>40</v>
      </c>
      <c r="C89" s="165">
        <f>C88+C87</f>
        <v>10880.183999999999</v>
      </c>
      <c r="D89" s="165">
        <f t="shared" ref="D89:F89" si="5">D88+D87</f>
        <v>21000</v>
      </c>
      <c r="E89" s="165">
        <f t="shared" si="5"/>
        <v>21000</v>
      </c>
      <c r="F89" s="165">
        <f t="shared" si="5"/>
        <v>21000</v>
      </c>
    </row>
    <row r="90" spans="2:6" ht="15.75" thickBot="1" x14ac:dyDescent="0.3">
      <c r="B90" s="989" t="s">
        <v>63</v>
      </c>
      <c r="C90" s="990"/>
      <c r="D90" s="990"/>
      <c r="E90" s="990"/>
      <c r="F90" s="991"/>
    </row>
    <row r="91" spans="2:6" ht="15.75" thickBot="1" x14ac:dyDescent="0.3">
      <c r="B91" s="989" t="s">
        <v>64</v>
      </c>
      <c r="C91" s="990"/>
      <c r="D91" s="990"/>
      <c r="E91" s="990"/>
      <c r="F91" s="991"/>
    </row>
    <row r="92" spans="2:6" ht="15.75" thickBot="1" x14ac:dyDescent="0.3">
      <c r="B92" s="67" t="s">
        <v>1364</v>
      </c>
      <c r="C92" s="1009"/>
      <c r="D92" s="1010"/>
      <c r="E92" s="1010"/>
      <c r="F92" s="1011"/>
    </row>
    <row r="93" spans="2:6" ht="15.75" thickBot="1" x14ac:dyDescent="0.3">
      <c r="B93" s="160" t="s">
        <v>16</v>
      </c>
      <c r="C93" s="992" t="s">
        <v>1368</v>
      </c>
      <c r="D93" s="993"/>
      <c r="E93" s="993"/>
      <c r="F93" s="994"/>
    </row>
    <row r="94" spans="2:6" ht="15.75" thickBot="1" x14ac:dyDescent="0.3">
      <c r="B94" s="62" t="s">
        <v>17</v>
      </c>
      <c r="C94" s="983" t="s">
        <v>1369</v>
      </c>
      <c r="D94" s="984"/>
      <c r="E94" s="984"/>
      <c r="F94" s="985"/>
    </row>
    <row r="95" spans="2:6" ht="15.75" thickBot="1" x14ac:dyDescent="0.3">
      <c r="B95" s="62" t="s">
        <v>18</v>
      </c>
      <c r="C95" s="995" t="s">
        <v>1370</v>
      </c>
      <c r="D95" s="996"/>
      <c r="E95" s="996"/>
      <c r="F95" s="997"/>
    </row>
    <row r="96" spans="2:6" x14ac:dyDescent="0.25">
      <c r="B96" s="998"/>
      <c r="C96" s="63">
        <v>2018</v>
      </c>
      <c r="D96" s="63">
        <v>2019</v>
      </c>
      <c r="E96" s="63">
        <v>2020</v>
      </c>
      <c r="F96" s="63">
        <v>2021</v>
      </c>
    </row>
    <row r="97" spans="2:6" ht="15.75" thickBot="1" x14ac:dyDescent="0.3">
      <c r="B97" s="999"/>
      <c r="C97" s="64" t="s">
        <v>10</v>
      </c>
      <c r="D97" s="64" t="s">
        <v>11</v>
      </c>
      <c r="E97" s="64" t="s">
        <v>11</v>
      </c>
      <c r="F97" s="64" t="s">
        <v>11</v>
      </c>
    </row>
    <row r="98" spans="2:6" ht="15.75" thickBot="1" x14ac:dyDescent="0.3">
      <c r="B98" s="62" t="s">
        <v>19</v>
      </c>
      <c r="C98" s="161">
        <v>1</v>
      </c>
      <c r="D98" s="161">
        <v>3</v>
      </c>
      <c r="E98" s="161">
        <v>3</v>
      </c>
      <c r="F98" s="161">
        <v>3</v>
      </c>
    </row>
    <row r="99" spans="2:6" ht="15.75" thickBot="1" x14ac:dyDescent="0.3">
      <c r="B99" s="62" t="s">
        <v>20</v>
      </c>
      <c r="C99" s="161">
        <v>42642.086000000003</v>
      </c>
      <c r="D99" s="161">
        <v>156000</v>
      </c>
      <c r="E99" s="161">
        <v>156000</v>
      </c>
      <c r="F99" s="161">
        <v>156000</v>
      </c>
    </row>
    <row r="100" spans="2:6" ht="15.75" thickBot="1" x14ac:dyDescent="0.3">
      <c r="B100" s="62" t="s">
        <v>21</v>
      </c>
      <c r="C100" s="161">
        <f>C99/C98</f>
        <v>42642.086000000003</v>
      </c>
      <c r="D100" s="161">
        <f>D99/D98</f>
        <v>52000</v>
      </c>
      <c r="E100" s="161">
        <f>E99/E98</f>
        <v>52000</v>
      </c>
      <c r="F100" s="161">
        <f>F99/F98</f>
        <v>52000</v>
      </c>
    </row>
    <row r="101" spans="2:6" ht="15.75" thickBot="1" x14ac:dyDescent="0.3">
      <c r="B101" s="62" t="s">
        <v>22</v>
      </c>
      <c r="C101" s="636" t="s">
        <v>23</v>
      </c>
      <c r="D101" s="162">
        <f>D98/C98-1</f>
        <v>2</v>
      </c>
      <c r="E101" s="162">
        <f t="shared" ref="E101:F103" si="6">E98/D98-1</f>
        <v>0</v>
      </c>
      <c r="F101" s="162">
        <f t="shared" si="6"/>
        <v>0</v>
      </c>
    </row>
    <row r="102" spans="2:6" ht="15.75" thickBot="1" x14ac:dyDescent="0.3">
      <c r="B102" s="62" t="s">
        <v>24</v>
      </c>
      <c r="C102" s="636" t="s">
        <v>23</v>
      </c>
      <c r="D102" s="162">
        <f>D99/C99-1</f>
        <v>2.6583576141185961</v>
      </c>
      <c r="E102" s="162">
        <f t="shared" si="6"/>
        <v>0</v>
      </c>
      <c r="F102" s="162">
        <f t="shared" si="6"/>
        <v>0</v>
      </c>
    </row>
    <row r="103" spans="2:6" ht="15.75" thickBot="1" x14ac:dyDescent="0.3">
      <c r="B103" s="62" t="s">
        <v>25</v>
      </c>
      <c r="C103" s="636" t="s">
        <v>23</v>
      </c>
      <c r="D103" s="162">
        <f>D100/C100-1</f>
        <v>0.21945253803953202</v>
      </c>
      <c r="E103" s="162">
        <f t="shared" si="6"/>
        <v>0</v>
      </c>
      <c r="F103" s="162">
        <f t="shared" si="6"/>
        <v>0</v>
      </c>
    </row>
    <row r="104" spans="2:6" ht="15.75" thickBot="1" x14ac:dyDescent="0.3">
      <c r="B104" s="1000" t="s">
        <v>784</v>
      </c>
      <c r="C104" s="1001"/>
      <c r="D104" s="1001"/>
      <c r="E104" s="1001"/>
      <c r="F104" s="1002"/>
    </row>
    <row r="105" spans="2:6" x14ac:dyDescent="0.25">
      <c r="B105" s="998"/>
      <c r="C105" s="63">
        <v>2018</v>
      </c>
      <c r="D105" s="63">
        <v>2019</v>
      </c>
      <c r="E105" s="63">
        <v>2020</v>
      </c>
      <c r="F105" s="63">
        <v>2021</v>
      </c>
    </row>
    <row r="106" spans="2:6" ht="15.75" thickBot="1" x14ac:dyDescent="0.3">
      <c r="B106" s="999"/>
      <c r="C106" s="64" t="s">
        <v>10</v>
      </c>
      <c r="D106" s="64" t="s">
        <v>11</v>
      </c>
      <c r="E106" s="64" t="s">
        <v>11</v>
      </c>
      <c r="F106" s="64" t="s">
        <v>11</v>
      </c>
    </row>
    <row r="107" spans="2:6" ht="15.75" thickBot="1" x14ac:dyDescent="0.3">
      <c r="B107" s="65" t="s">
        <v>58</v>
      </c>
      <c r="C107" s="164"/>
      <c r="D107" s="164"/>
      <c r="E107" s="164"/>
      <c r="F107" s="164"/>
    </row>
    <row r="108" spans="2:6" ht="15.75" thickBot="1" x14ac:dyDescent="0.3">
      <c r="B108" s="65" t="s">
        <v>59</v>
      </c>
      <c r="C108" s="165">
        <f>C99</f>
        <v>42642.086000000003</v>
      </c>
      <c r="D108" s="165">
        <f t="shared" ref="D108:F108" si="7">D99</f>
        <v>156000</v>
      </c>
      <c r="E108" s="165">
        <f t="shared" si="7"/>
        <v>156000</v>
      </c>
      <c r="F108" s="165">
        <f t="shared" si="7"/>
        <v>156000</v>
      </c>
    </row>
    <row r="109" spans="2:6" ht="15.75" thickBot="1" x14ac:dyDescent="0.3">
      <c r="B109" s="66" t="s">
        <v>40</v>
      </c>
      <c r="C109" s="165">
        <f>C108+C107</f>
        <v>42642.086000000003</v>
      </c>
      <c r="D109" s="165">
        <f t="shared" ref="D109:F109" si="8">D108+D107</f>
        <v>156000</v>
      </c>
      <c r="E109" s="165">
        <f t="shared" si="8"/>
        <v>156000</v>
      </c>
      <c r="F109" s="165">
        <f t="shared" si="8"/>
        <v>156000</v>
      </c>
    </row>
    <row r="110" spans="2:6" ht="15.75" thickBot="1" x14ac:dyDescent="0.3">
      <c r="B110" s="67" t="s">
        <v>1364</v>
      </c>
      <c r="C110" s="1009"/>
      <c r="D110" s="1010"/>
      <c r="E110" s="1010"/>
      <c r="F110" s="1011"/>
    </row>
    <row r="111" spans="2:6" ht="15.75" thickBot="1" x14ac:dyDescent="0.3">
      <c r="B111" s="160" t="s">
        <v>16</v>
      </c>
      <c r="C111" s="992" t="s">
        <v>1371</v>
      </c>
      <c r="D111" s="993"/>
      <c r="E111" s="993"/>
      <c r="F111" s="994"/>
    </row>
    <row r="112" spans="2:6" ht="15.75" thickBot="1" x14ac:dyDescent="0.3">
      <c r="B112" s="62" t="s">
        <v>17</v>
      </c>
      <c r="C112" s="983" t="s">
        <v>1372</v>
      </c>
      <c r="D112" s="984"/>
      <c r="E112" s="984"/>
      <c r="F112" s="985"/>
    </row>
    <row r="113" spans="2:6" ht="15.75" thickBot="1" x14ac:dyDescent="0.3">
      <c r="B113" s="62" t="s">
        <v>18</v>
      </c>
      <c r="C113" s="995" t="s">
        <v>1373</v>
      </c>
      <c r="D113" s="996"/>
      <c r="E113" s="996"/>
      <c r="F113" s="997"/>
    </row>
    <row r="114" spans="2:6" x14ac:dyDescent="0.25">
      <c r="B114" s="998"/>
      <c r="C114" s="63">
        <v>2018</v>
      </c>
      <c r="D114" s="63">
        <v>2019</v>
      </c>
      <c r="E114" s="63">
        <v>2020</v>
      </c>
      <c r="F114" s="63">
        <v>2021</v>
      </c>
    </row>
    <row r="115" spans="2:6" ht="15.75" thickBot="1" x14ac:dyDescent="0.3">
      <c r="B115" s="999"/>
      <c r="C115" s="64" t="s">
        <v>10</v>
      </c>
      <c r="D115" s="64" t="s">
        <v>11</v>
      </c>
      <c r="E115" s="64" t="s">
        <v>11</v>
      </c>
      <c r="F115" s="64" t="s">
        <v>11</v>
      </c>
    </row>
    <row r="116" spans="2:6" ht="15.75" thickBot="1" x14ac:dyDescent="0.3">
      <c r="B116" s="62" t="s">
        <v>19</v>
      </c>
      <c r="C116" s="161">
        <v>2</v>
      </c>
      <c r="D116" s="161">
        <v>3</v>
      </c>
      <c r="E116" s="161">
        <v>3</v>
      </c>
      <c r="F116" s="161">
        <v>3</v>
      </c>
    </row>
    <row r="117" spans="2:6" ht="15.75" thickBot="1" x14ac:dyDescent="0.3">
      <c r="B117" s="62" t="s">
        <v>20</v>
      </c>
      <c r="C117" s="161">
        <v>17000</v>
      </c>
      <c r="D117" s="161">
        <v>25500</v>
      </c>
      <c r="E117" s="161">
        <v>25500</v>
      </c>
      <c r="F117" s="161">
        <v>25500</v>
      </c>
    </row>
    <row r="118" spans="2:6" ht="15.75" thickBot="1" x14ac:dyDescent="0.3">
      <c r="B118" s="62" t="s">
        <v>21</v>
      </c>
      <c r="C118" s="161">
        <f>C117/C116</f>
        <v>8500</v>
      </c>
      <c r="D118" s="161">
        <f t="shared" ref="D118:F118" si="9">D117/D116</f>
        <v>8500</v>
      </c>
      <c r="E118" s="161">
        <f t="shared" si="9"/>
        <v>8500</v>
      </c>
      <c r="F118" s="161">
        <f t="shared" si="9"/>
        <v>8500</v>
      </c>
    </row>
    <row r="119" spans="2:6" ht="15.75" thickBot="1" x14ac:dyDescent="0.3">
      <c r="B119" s="62" t="s">
        <v>22</v>
      </c>
      <c r="C119" s="636" t="s">
        <v>23</v>
      </c>
      <c r="D119" s="162">
        <f>D116/C116-1</f>
        <v>0.5</v>
      </c>
      <c r="E119" s="162">
        <f>E116/D116-1</f>
        <v>0</v>
      </c>
      <c r="F119" s="162">
        <f t="shared" ref="F119:F121" si="10">F116/E116-1</f>
        <v>0</v>
      </c>
    </row>
    <row r="120" spans="2:6" ht="15.75" thickBot="1" x14ac:dyDescent="0.3">
      <c r="B120" s="62" t="s">
        <v>24</v>
      </c>
      <c r="C120" s="636" t="s">
        <v>23</v>
      </c>
      <c r="D120" s="162">
        <f>D117/C117-1</f>
        <v>0.5</v>
      </c>
      <c r="E120" s="162">
        <f t="shared" ref="E120:E121" si="11">E117/D117-1</f>
        <v>0</v>
      </c>
      <c r="F120" s="162">
        <f t="shared" si="10"/>
        <v>0</v>
      </c>
    </row>
    <row r="121" spans="2:6" ht="15.75" thickBot="1" x14ac:dyDescent="0.3">
      <c r="B121" s="62" t="s">
        <v>25</v>
      </c>
      <c r="C121" s="636" t="s">
        <v>23</v>
      </c>
      <c r="D121" s="162">
        <f>D118/C118-1</f>
        <v>0</v>
      </c>
      <c r="E121" s="162">
        <f t="shared" si="11"/>
        <v>0</v>
      </c>
      <c r="F121" s="162">
        <f t="shared" si="10"/>
        <v>0</v>
      </c>
    </row>
    <row r="122" spans="2:6" ht="15.75" thickBot="1" x14ac:dyDescent="0.3">
      <c r="B122" s="1000" t="s">
        <v>784</v>
      </c>
      <c r="C122" s="1001"/>
      <c r="D122" s="1001"/>
      <c r="E122" s="1001"/>
      <c r="F122" s="1002"/>
    </row>
    <row r="123" spans="2:6" x14ac:dyDescent="0.25">
      <c r="B123" s="998"/>
      <c r="C123" s="63">
        <v>2018</v>
      </c>
      <c r="D123" s="63">
        <v>2019</v>
      </c>
      <c r="E123" s="63">
        <v>2020</v>
      </c>
      <c r="F123" s="63">
        <v>2021</v>
      </c>
    </row>
    <row r="124" spans="2:6" ht="15.75" thickBot="1" x14ac:dyDescent="0.3">
      <c r="B124" s="999"/>
      <c r="C124" s="64" t="s">
        <v>10</v>
      </c>
      <c r="D124" s="64" t="s">
        <v>11</v>
      </c>
      <c r="E124" s="64" t="s">
        <v>11</v>
      </c>
      <c r="F124" s="64" t="s">
        <v>11</v>
      </c>
    </row>
    <row r="125" spans="2:6" ht="15.75" thickBot="1" x14ac:dyDescent="0.3">
      <c r="B125" s="65" t="s">
        <v>58</v>
      </c>
      <c r="C125" s="164">
        <v>0</v>
      </c>
      <c r="D125" s="164">
        <v>0</v>
      </c>
      <c r="E125" s="164">
        <v>0</v>
      </c>
      <c r="F125" s="164">
        <v>0</v>
      </c>
    </row>
    <row r="126" spans="2:6" ht="15.75" thickBot="1" x14ac:dyDescent="0.3">
      <c r="B126" s="65" t="s">
        <v>59</v>
      </c>
      <c r="C126" s="165">
        <f>C117</f>
        <v>17000</v>
      </c>
      <c r="D126" s="165">
        <f>D117</f>
        <v>25500</v>
      </c>
      <c r="E126" s="165">
        <f>E117</f>
        <v>25500</v>
      </c>
      <c r="F126" s="165">
        <f>F117</f>
        <v>25500</v>
      </c>
    </row>
    <row r="127" spans="2:6" ht="15.75" thickBot="1" x14ac:dyDescent="0.3">
      <c r="B127" s="66" t="s">
        <v>40</v>
      </c>
      <c r="C127" s="165">
        <f>C126+C125</f>
        <v>17000</v>
      </c>
      <c r="D127" s="165">
        <f t="shared" ref="D127:F127" si="12">D126+D125</f>
        <v>25500</v>
      </c>
      <c r="E127" s="165">
        <f t="shared" si="12"/>
        <v>25500</v>
      </c>
      <c r="F127" s="165">
        <f t="shared" si="12"/>
        <v>25500</v>
      </c>
    </row>
    <row r="128" spans="2:6" x14ac:dyDescent="0.25">
      <c r="B128" s="1015" t="s">
        <v>60</v>
      </c>
      <c r="C128" s="1036" t="s">
        <v>1374</v>
      </c>
      <c r="D128" s="1037"/>
      <c r="E128" s="1037"/>
      <c r="F128" s="1038"/>
    </row>
    <row r="129" spans="2:6" x14ac:dyDescent="0.25">
      <c r="B129" s="1016"/>
      <c r="C129" s="1039"/>
      <c r="D129" s="1040"/>
      <c r="E129" s="1040"/>
      <c r="F129" s="1041"/>
    </row>
    <row r="130" spans="2:6" ht="15.75" thickBot="1" x14ac:dyDescent="0.3">
      <c r="B130" s="1017"/>
      <c r="C130" s="1042"/>
      <c r="D130" s="1043"/>
      <c r="E130" s="1043"/>
      <c r="F130" s="1044"/>
    </row>
    <row r="131" spans="2:6" ht="15.75" thickBot="1" x14ac:dyDescent="0.3">
      <c r="B131" s="175"/>
      <c r="C131" s="176"/>
      <c r="D131" s="176"/>
      <c r="E131" s="176"/>
      <c r="F131" s="176"/>
    </row>
    <row r="132" spans="2:6" ht="30.75" thickBot="1" x14ac:dyDescent="0.3">
      <c r="B132" s="158" t="s">
        <v>82</v>
      </c>
      <c r="C132" s="177">
        <f>+C32</f>
        <v>171796</v>
      </c>
      <c r="D132" s="177">
        <f>+D32</f>
        <v>220000</v>
      </c>
      <c r="E132" s="177">
        <f>+E32</f>
        <v>276000</v>
      </c>
      <c r="F132" s="177">
        <f>+F32</f>
        <v>330950</v>
      </c>
    </row>
    <row r="133" spans="2:6" ht="30.75" thickBot="1" x14ac:dyDescent="0.3">
      <c r="B133" s="158" t="s">
        <v>83</v>
      </c>
      <c r="C133" s="177">
        <f>C135+C137+C139+C141+C143+C145+C147+C149+C151</f>
        <v>171796</v>
      </c>
      <c r="D133" s="177">
        <f>D135+D137+D139+D141+D143+D145+D147+D149+D151</f>
        <v>220000</v>
      </c>
      <c r="E133" s="177">
        <f>E135+E137+E139+E141+E143+E145+E147+E149+E151</f>
        <v>276000</v>
      </c>
      <c r="F133" s="177">
        <f>F135+F137+F139+F141+F143+F145+F147+F149+F151</f>
        <v>330950</v>
      </c>
    </row>
    <row r="134" spans="2:6" ht="30.75" thickBot="1" x14ac:dyDescent="0.3">
      <c r="B134" s="178" t="s">
        <v>84</v>
      </c>
      <c r="C134" s="179"/>
      <c r="D134" s="180">
        <f>D133/C133-1</f>
        <v>0.28058860508975769</v>
      </c>
      <c r="E134" s="180">
        <f t="shared" ref="E134:F134" si="13">E133/D133-1</f>
        <v>0.25454545454545463</v>
      </c>
      <c r="F134" s="180">
        <f t="shared" si="13"/>
        <v>0.19909420289855073</v>
      </c>
    </row>
    <row r="135" spans="2:6" ht="15.75" thickBot="1" x14ac:dyDescent="0.3">
      <c r="B135" s="65" t="s">
        <v>26</v>
      </c>
      <c r="C135" s="164">
        <f>+C40</f>
        <v>130000</v>
      </c>
      <c r="D135" s="164">
        <f t="shared" ref="D135:F135" si="14">+D40</f>
        <v>157000</v>
      </c>
      <c r="E135" s="164">
        <f t="shared" si="14"/>
        <v>197000</v>
      </c>
      <c r="F135" s="164">
        <f t="shared" si="14"/>
        <v>236450</v>
      </c>
    </row>
    <row r="136" spans="2:6" ht="15.75" thickBot="1" x14ac:dyDescent="0.3">
      <c r="B136" s="181" t="s">
        <v>85</v>
      </c>
      <c r="C136" s="165"/>
      <c r="D136" s="182">
        <f>D135/C135-1</f>
        <v>0.20769230769230762</v>
      </c>
      <c r="E136" s="182">
        <f t="shared" ref="E136:F136" si="15">E135/D135-1</f>
        <v>0.25477707006369421</v>
      </c>
      <c r="F136" s="182">
        <f t="shared" si="15"/>
        <v>0.2002538071065989</v>
      </c>
    </row>
    <row r="137" spans="2:6" ht="15.75" thickBot="1" x14ac:dyDescent="0.3">
      <c r="B137" s="65" t="s">
        <v>28</v>
      </c>
      <c r="C137" s="164">
        <f>+C41</f>
        <v>21796</v>
      </c>
      <c r="D137" s="164">
        <f t="shared" ref="D137:F137" si="16">+D41</f>
        <v>26400</v>
      </c>
      <c r="E137" s="164">
        <f t="shared" si="16"/>
        <v>33000</v>
      </c>
      <c r="F137" s="164">
        <f t="shared" si="16"/>
        <v>39500</v>
      </c>
    </row>
    <row r="138" spans="2:6" ht="15.75" thickBot="1" x14ac:dyDescent="0.3">
      <c r="B138" s="181" t="s">
        <v>86</v>
      </c>
      <c r="C138" s="165"/>
      <c r="D138" s="182">
        <f>D137/C137-1</f>
        <v>0.21123141860891903</v>
      </c>
      <c r="E138" s="182">
        <f t="shared" ref="E138:F138" si="17">E137/D137-1</f>
        <v>0.25</v>
      </c>
      <c r="F138" s="182">
        <f t="shared" si="17"/>
        <v>0.19696969696969702</v>
      </c>
    </row>
    <row r="139" spans="2:6" ht="15.75" thickBot="1" x14ac:dyDescent="0.3">
      <c r="B139" s="65" t="s">
        <v>30</v>
      </c>
      <c r="C139" s="164">
        <f>+C42</f>
        <v>20000</v>
      </c>
      <c r="D139" s="164">
        <f t="shared" ref="D139:F139" si="18">+D42</f>
        <v>36600</v>
      </c>
      <c r="E139" s="164">
        <f t="shared" si="18"/>
        <v>46000</v>
      </c>
      <c r="F139" s="164">
        <f t="shared" si="18"/>
        <v>55000</v>
      </c>
    </row>
    <row r="140" spans="2:6" ht="15.75" thickBot="1" x14ac:dyDescent="0.3">
      <c r="B140" s="181" t="s">
        <v>87</v>
      </c>
      <c r="C140" s="165"/>
      <c r="D140" s="182">
        <f>D139/C139-1</f>
        <v>0.83000000000000007</v>
      </c>
      <c r="E140" s="182">
        <f t="shared" ref="E140:F140" si="19">E139/D139-1</f>
        <v>0.25683060109289624</v>
      </c>
      <c r="F140" s="182">
        <f t="shared" si="19"/>
        <v>0.19565217391304346</v>
      </c>
    </row>
    <row r="141" spans="2:6" ht="15.75" thickBot="1" x14ac:dyDescent="0.3">
      <c r="B141" s="65" t="s">
        <v>32</v>
      </c>
      <c r="C141" s="164">
        <f>+C43</f>
        <v>0</v>
      </c>
      <c r="D141" s="164">
        <f t="shared" ref="D141:F141" si="20">+D43</f>
        <v>0</v>
      </c>
      <c r="E141" s="164">
        <f t="shared" si="20"/>
        <v>0</v>
      </c>
      <c r="F141" s="164">
        <f t="shared" si="20"/>
        <v>0</v>
      </c>
    </row>
    <row r="142" spans="2:6" ht="15.75" thickBot="1" x14ac:dyDescent="0.3">
      <c r="B142" s="181" t="s">
        <v>88</v>
      </c>
      <c r="C142" s="165"/>
      <c r="D142" s="182">
        <v>0</v>
      </c>
      <c r="E142" s="182">
        <v>0</v>
      </c>
      <c r="F142" s="182">
        <v>0</v>
      </c>
    </row>
    <row r="143" spans="2:6" ht="15.75" thickBot="1" x14ac:dyDescent="0.3">
      <c r="B143" s="65" t="s">
        <v>34</v>
      </c>
      <c r="C143" s="164">
        <v>0</v>
      </c>
      <c r="D143" s="164">
        <v>0</v>
      </c>
      <c r="E143" s="164">
        <v>0</v>
      </c>
      <c r="F143" s="164">
        <v>0</v>
      </c>
    </row>
    <row r="144" spans="2:6" ht="15.75" thickBot="1" x14ac:dyDescent="0.3">
      <c r="B144" s="181" t="s">
        <v>89</v>
      </c>
      <c r="C144" s="165"/>
      <c r="D144" s="182">
        <v>0</v>
      </c>
      <c r="E144" s="182">
        <v>0</v>
      </c>
      <c r="F144" s="182">
        <v>0</v>
      </c>
    </row>
    <row r="145" spans="2:6" ht="15.75" thickBot="1" x14ac:dyDescent="0.3">
      <c r="B145" s="65" t="s">
        <v>36</v>
      </c>
      <c r="C145" s="164">
        <v>0</v>
      </c>
      <c r="D145" s="164">
        <v>0</v>
      </c>
      <c r="E145" s="164">
        <v>0</v>
      </c>
      <c r="F145" s="164">
        <v>0</v>
      </c>
    </row>
    <row r="146" spans="2:6" ht="15.75" thickBot="1" x14ac:dyDescent="0.3">
      <c r="B146" s="181" t="s">
        <v>90</v>
      </c>
      <c r="C146" s="165"/>
      <c r="D146" s="182">
        <v>0</v>
      </c>
      <c r="E146" s="182">
        <v>0</v>
      </c>
      <c r="F146" s="182">
        <v>0</v>
      </c>
    </row>
    <row r="147" spans="2:6" ht="15.75" thickBot="1" x14ac:dyDescent="0.3">
      <c r="B147" s="65" t="s">
        <v>38</v>
      </c>
      <c r="C147" s="164">
        <v>0</v>
      </c>
      <c r="D147" s="164">
        <v>0</v>
      </c>
      <c r="E147" s="164">
        <v>0</v>
      </c>
      <c r="F147" s="164">
        <v>0</v>
      </c>
    </row>
    <row r="148" spans="2:6" ht="15.75" thickBot="1" x14ac:dyDescent="0.3">
      <c r="B148" s="181" t="s">
        <v>91</v>
      </c>
      <c r="C148" s="165"/>
      <c r="D148" s="182">
        <v>0</v>
      </c>
      <c r="E148" s="182">
        <v>0</v>
      </c>
      <c r="F148" s="182">
        <v>0</v>
      </c>
    </row>
    <row r="149" spans="2:6" ht="15.75" thickBot="1" x14ac:dyDescent="0.3">
      <c r="B149" s="65" t="s">
        <v>92</v>
      </c>
      <c r="C149" s="164">
        <v>0</v>
      </c>
      <c r="D149" s="164">
        <v>0</v>
      </c>
      <c r="E149" s="164">
        <v>0</v>
      </c>
      <c r="F149" s="164">
        <v>0</v>
      </c>
    </row>
    <row r="150" spans="2:6" ht="15.75" thickBot="1" x14ac:dyDescent="0.3">
      <c r="B150" s="181" t="s">
        <v>93</v>
      </c>
      <c r="C150" s="165"/>
      <c r="D150" s="182">
        <v>0</v>
      </c>
      <c r="E150" s="182">
        <v>0</v>
      </c>
      <c r="F150" s="182">
        <v>0</v>
      </c>
    </row>
    <row r="151" spans="2:6" ht="15.75" thickBot="1" x14ac:dyDescent="0.3">
      <c r="B151" s="65" t="s">
        <v>94</v>
      </c>
      <c r="C151" s="164">
        <v>0</v>
      </c>
      <c r="D151" s="164">
        <v>0</v>
      </c>
      <c r="E151" s="164">
        <v>0</v>
      </c>
      <c r="F151" s="164">
        <v>0</v>
      </c>
    </row>
    <row r="152" spans="2:6" ht="15.75" thickBot="1" x14ac:dyDescent="0.3">
      <c r="B152" s="181" t="s">
        <v>95</v>
      </c>
      <c r="C152" s="165"/>
      <c r="D152" s="182">
        <v>0</v>
      </c>
      <c r="E152" s="182">
        <v>0</v>
      </c>
      <c r="F152" s="182">
        <v>0</v>
      </c>
    </row>
    <row r="153" spans="2:6" ht="15.75" thickBot="1" x14ac:dyDescent="0.3">
      <c r="B153" s="166" t="s">
        <v>41</v>
      </c>
      <c r="C153" s="167">
        <f>IF(C133-C132=0,0,"Error")</f>
        <v>0</v>
      </c>
      <c r="D153" s="167">
        <f t="shared" ref="D153:F153" si="21">IF(D133-D132=0,0,"Error")</f>
        <v>0</v>
      </c>
      <c r="E153" s="167">
        <f t="shared" si="21"/>
        <v>0</v>
      </c>
      <c r="F153" s="167">
        <f t="shared" si="21"/>
        <v>0</v>
      </c>
    </row>
    <row r="154" spans="2:6" ht="30.75" thickBot="1" x14ac:dyDescent="0.3">
      <c r="B154" s="183" t="s">
        <v>96</v>
      </c>
      <c r="C154" s="164">
        <v>160</v>
      </c>
      <c r="D154" s="164">
        <v>220</v>
      </c>
      <c r="E154" s="164">
        <v>280</v>
      </c>
      <c r="F154" s="164">
        <v>340</v>
      </c>
    </row>
    <row r="155" spans="2:6" ht="30.75" thickBot="1" x14ac:dyDescent="0.3">
      <c r="B155" s="183" t="s">
        <v>97</v>
      </c>
      <c r="C155" s="164">
        <v>0</v>
      </c>
      <c r="D155" s="164">
        <v>0</v>
      </c>
      <c r="E155" s="164">
        <v>0</v>
      </c>
      <c r="F155" s="164">
        <v>0</v>
      </c>
    </row>
  </sheetData>
  <mergeCells count="54">
    <mergeCell ref="B128:B130"/>
    <mergeCell ref="C128:F130"/>
    <mergeCell ref="C95:F95"/>
    <mergeCell ref="B96:B97"/>
    <mergeCell ref="B104:F104"/>
    <mergeCell ref="B105:B106"/>
    <mergeCell ref="C110:F110"/>
    <mergeCell ref="C111:F111"/>
    <mergeCell ref="C112:F112"/>
    <mergeCell ref="C113:F113"/>
    <mergeCell ref="B114:B115"/>
    <mergeCell ref="B122:F122"/>
    <mergeCell ref="B123:B124"/>
    <mergeCell ref="B85:B86"/>
    <mergeCell ref="B90:F90"/>
    <mergeCell ref="B91:F91"/>
    <mergeCell ref="C92:F92"/>
    <mergeCell ref="C93:F93"/>
    <mergeCell ref="C94:F94"/>
    <mergeCell ref="C72:F72"/>
    <mergeCell ref="C73:F73"/>
    <mergeCell ref="C74:F74"/>
    <mergeCell ref="C75:F75"/>
    <mergeCell ref="B76:B77"/>
    <mergeCell ref="B84:F84"/>
    <mergeCell ref="C54:F54"/>
    <mergeCell ref="B55:B56"/>
    <mergeCell ref="B63:F63"/>
    <mergeCell ref="B64:B65"/>
    <mergeCell ref="B69:B71"/>
    <mergeCell ref="C69:F71"/>
    <mergeCell ref="C53:F53"/>
    <mergeCell ref="B25:F25"/>
    <mergeCell ref="C26:F26"/>
    <mergeCell ref="C27:F27"/>
    <mergeCell ref="C28:F28"/>
    <mergeCell ref="B29:B30"/>
    <mergeCell ref="B37:F37"/>
    <mergeCell ref="B38:B39"/>
    <mergeCell ref="B49:F49"/>
    <mergeCell ref="B50:F50"/>
    <mergeCell ref="C51:F51"/>
    <mergeCell ref="C52:F52"/>
    <mergeCell ref="B24:F24"/>
    <mergeCell ref="B3:F3"/>
    <mergeCell ref="C5:F5"/>
    <mergeCell ref="C6:F6"/>
    <mergeCell ref="C7:F7"/>
    <mergeCell ref="B8:F8"/>
    <mergeCell ref="B9:F11"/>
    <mergeCell ref="C12:F12"/>
    <mergeCell ref="B13:B14"/>
    <mergeCell ref="C19:F19"/>
    <mergeCell ref="B20:F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2:J270"/>
  <sheetViews>
    <sheetView topLeftCell="A241" zoomScale="130" zoomScaleNormal="130" workbookViewId="0">
      <selection activeCell="M250" sqref="M250"/>
    </sheetView>
  </sheetViews>
  <sheetFormatPr defaultRowHeight="15" x14ac:dyDescent="0.25"/>
  <cols>
    <col min="2" max="4" width="0" hidden="1" customWidth="1"/>
    <col min="6" max="6" width="31" customWidth="1"/>
    <col min="7" max="7" width="15.28515625" customWidth="1"/>
    <col min="8" max="9" width="14.140625" customWidth="1"/>
    <col min="10" max="10" width="20.7109375" customWidth="1"/>
  </cols>
  <sheetData>
    <row r="2" spans="6:10" x14ac:dyDescent="0.25">
      <c r="F2" s="762" t="s">
        <v>0</v>
      </c>
      <c r="G2" s="762"/>
      <c r="H2" s="762"/>
      <c r="I2" s="762"/>
      <c r="J2" s="762"/>
    </row>
    <row r="4" spans="6:10" ht="15.75" thickBot="1" x14ac:dyDescent="0.3"/>
    <row r="5" spans="6:10" ht="15.75" thickBot="1" x14ac:dyDescent="0.3">
      <c r="F5" s="2" t="s">
        <v>2</v>
      </c>
      <c r="G5" s="909" t="s">
        <v>1510</v>
      </c>
      <c r="H5" s="909"/>
      <c r="I5" s="909"/>
      <c r="J5" s="909"/>
    </row>
    <row r="6" spans="6:10" ht="15.75" thickBot="1" x14ac:dyDescent="0.3">
      <c r="F6" s="2" t="s">
        <v>3</v>
      </c>
      <c r="G6" s="910" t="s">
        <v>4</v>
      </c>
      <c r="H6" s="911"/>
      <c r="I6" s="911"/>
      <c r="J6" s="912"/>
    </row>
    <row r="7" spans="6:10" ht="15.75" thickBot="1" x14ac:dyDescent="0.3">
      <c r="F7" s="2" t="s">
        <v>5</v>
      </c>
      <c r="G7" s="913" t="s">
        <v>6</v>
      </c>
      <c r="H7" s="914"/>
      <c r="I7" s="914"/>
      <c r="J7" s="915"/>
    </row>
    <row r="8" spans="6:10" ht="15.75" thickBot="1" x14ac:dyDescent="0.3">
      <c r="F8" s="916" t="s">
        <v>7</v>
      </c>
      <c r="G8" s="917"/>
      <c r="H8" s="917"/>
      <c r="I8" s="917"/>
      <c r="J8" s="918"/>
    </row>
    <row r="9" spans="6:10" ht="15.75" thickBot="1" x14ac:dyDescent="0.3">
      <c r="F9" s="906" t="s">
        <v>106</v>
      </c>
      <c r="G9" s="907"/>
      <c r="H9" s="907"/>
      <c r="I9" s="907"/>
      <c r="J9" s="908"/>
    </row>
    <row r="10" spans="6:10" ht="15.75" hidden="1" thickBot="1" x14ac:dyDescent="0.3">
      <c r="F10" s="906"/>
      <c r="G10" s="907"/>
      <c r="H10" s="907"/>
      <c r="I10" s="907"/>
      <c r="J10" s="908"/>
    </row>
    <row r="11" spans="6:10" ht="15.75" thickBot="1" x14ac:dyDescent="0.3">
      <c r="F11" s="906"/>
      <c r="G11" s="907"/>
      <c r="H11" s="907"/>
      <c r="I11" s="907"/>
      <c r="J11" s="908"/>
    </row>
    <row r="12" spans="6:10" ht="26.25" customHeight="1" thickBot="1" x14ac:dyDescent="0.3">
      <c r="F12" s="3" t="s">
        <v>8</v>
      </c>
      <c r="G12" s="921" t="s">
        <v>1537</v>
      </c>
      <c r="H12" s="922"/>
      <c r="I12" s="922"/>
      <c r="J12" s="923"/>
    </row>
    <row r="13" spans="6:10" x14ac:dyDescent="0.25">
      <c r="F13" s="919" t="s">
        <v>9</v>
      </c>
      <c r="G13" s="72">
        <v>2018</v>
      </c>
      <c r="H13" s="72">
        <v>2019</v>
      </c>
      <c r="I13" s="72">
        <v>2020</v>
      </c>
      <c r="J13" s="72">
        <v>2021</v>
      </c>
    </row>
    <row r="14" spans="6:10" ht="15.75" thickBot="1" x14ac:dyDescent="0.3">
      <c r="F14" s="920"/>
      <c r="G14" s="73" t="s">
        <v>10</v>
      </c>
      <c r="H14" s="73" t="s">
        <v>11</v>
      </c>
      <c r="I14" s="73" t="s">
        <v>11</v>
      </c>
      <c r="J14" s="73" t="s">
        <v>11</v>
      </c>
    </row>
    <row r="15" spans="6:10" ht="15.75" thickBot="1" x14ac:dyDescent="0.3">
      <c r="F15" s="745" t="s">
        <v>211</v>
      </c>
      <c r="G15" s="746" t="s">
        <v>116</v>
      </c>
      <c r="H15" s="746" t="s">
        <v>117</v>
      </c>
      <c r="I15" s="746" t="s">
        <v>117</v>
      </c>
      <c r="J15" s="746" t="s">
        <v>117</v>
      </c>
    </row>
    <row r="16" spans="6:10" ht="15.75" thickBot="1" x14ac:dyDescent="0.3">
      <c r="F16" s="5" t="s">
        <v>212</v>
      </c>
      <c r="G16" s="746" t="s">
        <v>116</v>
      </c>
      <c r="H16" s="746" t="s">
        <v>117</v>
      </c>
      <c r="I16" s="746" t="s">
        <v>117</v>
      </c>
      <c r="J16" s="746" t="s">
        <v>117</v>
      </c>
    </row>
    <row r="17" spans="6:10" ht="23.25" thickBot="1" x14ac:dyDescent="0.3">
      <c r="F17" s="5" t="s">
        <v>115</v>
      </c>
      <c r="G17" s="746" t="s">
        <v>116</v>
      </c>
      <c r="H17" s="746" t="s">
        <v>117</v>
      </c>
      <c r="I17" s="746" t="s">
        <v>117</v>
      </c>
      <c r="J17" s="746" t="s">
        <v>117</v>
      </c>
    </row>
    <row r="18" spans="6:10" ht="29.25" customHeight="1" thickBot="1" x14ac:dyDescent="0.3">
      <c r="F18" s="6" t="s">
        <v>12</v>
      </c>
      <c r="G18" s="924" t="s">
        <v>1511</v>
      </c>
      <c r="H18" s="925"/>
      <c r="I18" s="925"/>
      <c r="J18" s="926"/>
    </row>
    <row r="19" spans="6:10" ht="15.75" thickBot="1" x14ac:dyDescent="0.3">
      <c r="F19" s="927" t="s">
        <v>13</v>
      </c>
      <c r="G19" s="928"/>
      <c r="H19" s="928"/>
      <c r="I19" s="928"/>
      <c r="J19" s="929"/>
    </row>
    <row r="20" spans="6:10" ht="15.75" thickBot="1" x14ac:dyDescent="0.3">
      <c r="F20" s="747"/>
      <c r="G20" s="748"/>
      <c r="H20" s="746" t="s">
        <v>549</v>
      </c>
      <c r="I20" s="746" t="s">
        <v>549</v>
      </c>
      <c r="J20" s="746" t="s">
        <v>549</v>
      </c>
    </row>
    <row r="21" spans="6:10" ht="15.75" thickBot="1" x14ac:dyDescent="0.3">
      <c r="F21" s="749"/>
      <c r="G21" s="750"/>
      <c r="H21" s="751" t="s">
        <v>117</v>
      </c>
      <c r="I21" s="751" t="s">
        <v>117</v>
      </c>
      <c r="J21" s="751" t="s">
        <v>117</v>
      </c>
    </row>
    <row r="22" spans="6:10" ht="15.75" thickBot="1" x14ac:dyDescent="0.3">
      <c r="F22" s="930" t="s">
        <v>14</v>
      </c>
      <c r="G22" s="931"/>
      <c r="H22" s="931"/>
      <c r="I22" s="931"/>
      <c r="J22" s="932"/>
    </row>
    <row r="23" spans="6:10" ht="15.75" thickBot="1" x14ac:dyDescent="0.3">
      <c r="F23" s="933" t="s">
        <v>15</v>
      </c>
      <c r="G23" s="934"/>
      <c r="H23" s="934"/>
      <c r="I23" s="934"/>
      <c r="J23" s="935"/>
    </row>
    <row r="24" spans="6:10" ht="15.75" thickBot="1" x14ac:dyDescent="0.3">
      <c r="F24" s="7" t="s">
        <v>16</v>
      </c>
      <c r="G24" s="936" t="s">
        <v>1512</v>
      </c>
      <c r="H24" s="937"/>
      <c r="I24" s="937"/>
      <c r="J24" s="938"/>
    </row>
    <row r="25" spans="6:10" ht="29.25" customHeight="1" thickBot="1" x14ac:dyDescent="0.3">
      <c r="F25" s="5" t="s">
        <v>17</v>
      </c>
      <c r="G25" s="939" t="s">
        <v>1513</v>
      </c>
      <c r="H25" s="940"/>
      <c r="I25" s="940"/>
      <c r="J25" s="941"/>
    </row>
    <row r="26" spans="6:10" ht="15.75" thickBot="1" x14ac:dyDescent="0.3">
      <c r="F26" s="5" t="s">
        <v>18</v>
      </c>
      <c r="G26" s="942" t="s">
        <v>1514</v>
      </c>
      <c r="H26" s="943"/>
      <c r="I26" s="943"/>
      <c r="J26" s="944"/>
    </row>
    <row r="27" spans="6:10" x14ac:dyDescent="0.25">
      <c r="F27" s="919"/>
      <c r="G27" s="8">
        <v>2018</v>
      </c>
      <c r="H27" s="8">
        <v>2019</v>
      </c>
      <c r="I27" s="8">
        <v>2020</v>
      </c>
      <c r="J27" s="8">
        <v>2021</v>
      </c>
    </row>
    <row r="28" spans="6:10" ht="15.75" thickBot="1" x14ac:dyDescent="0.3">
      <c r="F28" s="920"/>
      <c r="G28" s="9" t="s">
        <v>10</v>
      </c>
      <c r="H28" s="9" t="s">
        <v>11</v>
      </c>
      <c r="I28" s="9" t="s">
        <v>11</v>
      </c>
      <c r="J28" s="9" t="s">
        <v>11</v>
      </c>
    </row>
    <row r="29" spans="6:10" ht="15.75" thickBot="1" x14ac:dyDescent="0.3">
      <c r="F29" s="5" t="s">
        <v>19</v>
      </c>
      <c r="G29" s="10">
        <v>100</v>
      </c>
      <c r="H29" s="10">
        <v>100</v>
      </c>
      <c r="I29" s="10">
        <v>100</v>
      </c>
      <c r="J29" s="10">
        <v>100</v>
      </c>
    </row>
    <row r="30" spans="6:10" ht="15.75" thickBot="1" x14ac:dyDescent="0.3">
      <c r="F30" s="5" t="s">
        <v>20</v>
      </c>
      <c r="G30" s="10">
        <f>G59</f>
        <v>301300</v>
      </c>
      <c r="H30" s="10">
        <f t="shared" ref="H30:J30" si="0">H59</f>
        <v>340000</v>
      </c>
      <c r="I30" s="10">
        <f t="shared" si="0"/>
        <v>340000</v>
      </c>
      <c r="J30" s="10">
        <f t="shared" si="0"/>
        <v>340000</v>
      </c>
    </row>
    <row r="31" spans="6:10" ht="15.75" thickBot="1" x14ac:dyDescent="0.3">
      <c r="F31" s="5" t="s">
        <v>21</v>
      </c>
      <c r="G31" s="10">
        <f>G30/G29</f>
        <v>3013</v>
      </c>
      <c r="H31" s="10">
        <f t="shared" ref="H31:J31" si="1">H30/H29</f>
        <v>3400</v>
      </c>
      <c r="I31" s="10">
        <f t="shared" si="1"/>
        <v>3400</v>
      </c>
      <c r="J31" s="10">
        <f t="shared" si="1"/>
        <v>3400</v>
      </c>
    </row>
    <row r="32" spans="6:10" ht="15.75" thickBot="1" x14ac:dyDescent="0.3">
      <c r="F32" s="5" t="s">
        <v>22</v>
      </c>
      <c r="G32" s="744" t="s">
        <v>23</v>
      </c>
      <c r="H32" s="11">
        <f>H29/G29-1</f>
        <v>0</v>
      </c>
      <c r="I32" s="11">
        <f t="shared" ref="I32:J34" si="2">I29/H29-1</f>
        <v>0</v>
      </c>
      <c r="J32" s="11">
        <f t="shared" si="2"/>
        <v>0</v>
      </c>
    </row>
    <row r="33" spans="6:10" ht="15.75" thickBot="1" x14ac:dyDescent="0.3">
      <c r="F33" s="5" t="s">
        <v>24</v>
      </c>
      <c r="G33" s="744" t="s">
        <v>23</v>
      </c>
      <c r="H33" s="11">
        <f>H30/G30-1</f>
        <v>0.12844341188184538</v>
      </c>
      <c r="I33" s="11">
        <f t="shared" si="2"/>
        <v>0</v>
      </c>
      <c r="J33" s="11">
        <f t="shared" si="2"/>
        <v>0</v>
      </c>
    </row>
    <row r="34" spans="6:10" ht="15.75" thickBot="1" x14ac:dyDescent="0.3">
      <c r="F34" s="5" t="s">
        <v>25</v>
      </c>
      <c r="G34" s="744" t="s">
        <v>23</v>
      </c>
      <c r="H34" s="11">
        <f>H31/G31-1</f>
        <v>0.12844341188184538</v>
      </c>
      <c r="I34" s="11">
        <f t="shared" si="2"/>
        <v>0</v>
      </c>
      <c r="J34" s="11">
        <f t="shared" si="2"/>
        <v>0</v>
      </c>
    </row>
    <row r="35" spans="6:10" ht="15.75" thickBot="1" x14ac:dyDescent="0.3">
      <c r="F35" s="945" t="s">
        <v>1031</v>
      </c>
      <c r="G35" s="946"/>
      <c r="H35" s="946"/>
      <c r="I35" s="946"/>
      <c r="J35" s="947"/>
    </row>
    <row r="36" spans="6:10" x14ac:dyDescent="0.25">
      <c r="F36" s="919"/>
      <c r="G36" s="8">
        <v>2018</v>
      </c>
      <c r="H36" s="8">
        <v>2019</v>
      </c>
      <c r="I36" s="8">
        <v>2020</v>
      </c>
      <c r="J36" s="8">
        <v>2021</v>
      </c>
    </row>
    <row r="37" spans="6:10" ht="15.75" thickBot="1" x14ac:dyDescent="0.3">
      <c r="F37" s="920"/>
      <c r="G37" s="9" t="s">
        <v>10</v>
      </c>
      <c r="H37" s="9" t="s">
        <v>11</v>
      </c>
      <c r="I37" s="9" t="s">
        <v>11</v>
      </c>
      <c r="J37" s="9" t="s">
        <v>11</v>
      </c>
    </row>
    <row r="38" spans="6:10" ht="15.75" thickBot="1" x14ac:dyDescent="0.3">
      <c r="F38" s="13" t="s">
        <v>26</v>
      </c>
      <c r="G38" s="14">
        <v>220000</v>
      </c>
      <c r="H38" s="14">
        <v>250000</v>
      </c>
      <c r="I38" s="14">
        <v>250000</v>
      </c>
      <c r="J38" s="14">
        <v>250000</v>
      </c>
    </row>
    <row r="39" spans="6:10" ht="24.75" thickBot="1" x14ac:dyDescent="0.3">
      <c r="F39" s="28" t="s">
        <v>27</v>
      </c>
      <c r="G39" s="15"/>
      <c r="H39" s="752"/>
      <c r="I39" s="752"/>
      <c r="J39" s="752"/>
    </row>
    <row r="40" spans="6:10" ht="24.75" thickBot="1" x14ac:dyDescent="0.3">
      <c r="F40" s="28" t="s">
        <v>1515</v>
      </c>
      <c r="G40" s="15"/>
      <c r="H40" s="29"/>
      <c r="I40" s="29"/>
      <c r="J40" s="29"/>
    </row>
    <row r="41" spans="6:10" ht="24.75" thickBot="1" x14ac:dyDescent="0.3">
      <c r="F41" s="13" t="s">
        <v>28</v>
      </c>
      <c r="G41" s="14">
        <v>27000</v>
      </c>
      <c r="H41" s="14">
        <v>32000</v>
      </c>
      <c r="I41" s="14">
        <v>32000</v>
      </c>
      <c r="J41" s="14">
        <v>32000</v>
      </c>
    </row>
    <row r="42" spans="6:10" ht="36.75" thickBot="1" x14ac:dyDescent="0.3">
      <c r="F42" s="28" t="s">
        <v>29</v>
      </c>
      <c r="G42" s="15"/>
      <c r="H42" s="14"/>
      <c r="I42" s="14"/>
      <c r="J42" s="14"/>
    </row>
    <row r="43" spans="6:10" ht="36.75" thickBot="1" x14ac:dyDescent="0.3">
      <c r="F43" s="28" t="s">
        <v>1516</v>
      </c>
      <c r="G43" s="15"/>
      <c r="H43" s="14"/>
      <c r="I43" s="14"/>
      <c r="J43" s="14"/>
    </row>
    <row r="44" spans="6:10" ht="15.75" thickBot="1" x14ac:dyDescent="0.3">
      <c r="F44" s="13" t="s">
        <v>30</v>
      </c>
      <c r="G44" s="15">
        <v>54300</v>
      </c>
      <c r="H44" s="14">
        <v>58000</v>
      </c>
      <c r="I44" s="14">
        <v>58000</v>
      </c>
      <c r="J44" s="14">
        <v>58000</v>
      </c>
    </row>
    <row r="45" spans="6:10" ht="24.75" thickBot="1" x14ac:dyDescent="0.3">
      <c r="F45" s="28" t="s">
        <v>31</v>
      </c>
      <c r="G45" s="15"/>
      <c r="H45" s="14"/>
      <c r="I45" s="14"/>
      <c r="J45" s="14"/>
    </row>
    <row r="46" spans="6:10" ht="24.75" thickBot="1" x14ac:dyDescent="0.3">
      <c r="F46" s="28" t="s">
        <v>1517</v>
      </c>
      <c r="G46" s="15"/>
      <c r="H46" s="14"/>
      <c r="I46" s="14"/>
      <c r="J46" s="14"/>
    </row>
    <row r="47" spans="6:10" ht="15.75" thickBot="1" x14ac:dyDescent="0.3">
      <c r="F47" s="13" t="s">
        <v>32</v>
      </c>
      <c r="G47" s="15"/>
      <c r="H47" s="14"/>
      <c r="I47" s="14"/>
      <c r="J47" s="14"/>
    </row>
    <row r="48" spans="6:10" ht="24.75" thickBot="1" x14ac:dyDescent="0.3">
      <c r="F48" s="28" t="s">
        <v>33</v>
      </c>
      <c r="G48" s="15"/>
      <c r="H48" s="14"/>
      <c r="I48" s="14"/>
      <c r="J48" s="14"/>
    </row>
    <row r="49" spans="6:10" ht="24.75" thickBot="1" x14ac:dyDescent="0.3">
      <c r="F49" s="28" t="s">
        <v>1518</v>
      </c>
      <c r="G49" s="15"/>
      <c r="H49" s="14"/>
      <c r="I49" s="14"/>
      <c r="J49" s="14"/>
    </row>
    <row r="50" spans="6:10" ht="15.75" thickBot="1" x14ac:dyDescent="0.3">
      <c r="F50" s="13" t="s">
        <v>34</v>
      </c>
      <c r="G50" s="15"/>
      <c r="H50" s="14"/>
      <c r="I50" s="14"/>
      <c r="J50" s="14"/>
    </row>
    <row r="51" spans="6:10" ht="24.75" thickBot="1" x14ac:dyDescent="0.3">
      <c r="F51" s="28" t="s">
        <v>35</v>
      </c>
      <c r="G51" s="15"/>
      <c r="H51" s="14"/>
      <c r="I51" s="14"/>
      <c r="J51" s="14"/>
    </row>
    <row r="52" spans="6:10" ht="24.75" thickBot="1" x14ac:dyDescent="0.3">
      <c r="F52" s="28" t="s">
        <v>1519</v>
      </c>
      <c r="G52" s="15"/>
      <c r="H52" s="14"/>
      <c r="I52" s="14"/>
      <c r="J52" s="14"/>
    </row>
    <row r="53" spans="6:10" ht="15.75" thickBot="1" x14ac:dyDescent="0.3">
      <c r="F53" s="13" t="s">
        <v>36</v>
      </c>
      <c r="G53" s="15"/>
      <c r="H53" s="14"/>
      <c r="I53" s="14"/>
      <c r="J53" s="14"/>
    </row>
    <row r="54" spans="6:10" ht="24.75" thickBot="1" x14ac:dyDescent="0.3">
      <c r="F54" s="28" t="s">
        <v>37</v>
      </c>
      <c r="G54" s="15"/>
      <c r="H54" s="14"/>
      <c r="I54" s="14"/>
      <c r="J54" s="14"/>
    </row>
    <row r="55" spans="6:10" ht="24.75" thickBot="1" x14ac:dyDescent="0.3">
      <c r="F55" s="28" t="s">
        <v>1520</v>
      </c>
      <c r="G55" s="15"/>
      <c r="H55" s="14"/>
      <c r="I55" s="14"/>
      <c r="J55" s="14"/>
    </row>
    <row r="56" spans="6:10" ht="15.75" thickBot="1" x14ac:dyDescent="0.3">
      <c r="F56" s="13" t="s">
        <v>38</v>
      </c>
      <c r="G56" s="15">
        <v>0</v>
      </c>
      <c r="H56" s="14">
        <v>0</v>
      </c>
      <c r="I56" s="14">
        <f>H56*1.03*0.99</f>
        <v>0</v>
      </c>
      <c r="J56" s="14">
        <f>I56*1.03*0.99</f>
        <v>0</v>
      </c>
    </row>
    <row r="57" spans="6:10" ht="36.75" thickBot="1" x14ac:dyDescent="0.3">
      <c r="F57" s="28" t="s">
        <v>39</v>
      </c>
      <c r="G57" s="15"/>
      <c r="H57" s="753"/>
      <c r="I57" s="753"/>
      <c r="J57" s="753"/>
    </row>
    <row r="58" spans="6:10" ht="36.75" thickBot="1" x14ac:dyDescent="0.3">
      <c r="F58" s="28" t="s">
        <v>1521</v>
      </c>
      <c r="G58" s="15"/>
      <c r="H58" s="754"/>
      <c r="I58" s="753"/>
      <c r="J58" s="753"/>
    </row>
    <row r="59" spans="6:10" ht="15.75" thickBot="1" x14ac:dyDescent="0.3">
      <c r="F59" s="16" t="s">
        <v>40</v>
      </c>
      <c r="G59" s="15">
        <f>G56+G53+G50+G47+G44+G41+G38</f>
        <v>301300</v>
      </c>
      <c r="H59" s="15">
        <f t="shared" ref="H59:J59" si="3">H56+H53+H50+H47+H44+H41+H38</f>
        <v>340000</v>
      </c>
      <c r="I59" s="15">
        <f t="shared" si="3"/>
        <v>340000</v>
      </c>
      <c r="J59" s="15">
        <f t="shared" si="3"/>
        <v>340000</v>
      </c>
    </row>
    <row r="60" spans="6:10" x14ac:dyDescent="0.25">
      <c r="F60" s="948" t="s">
        <v>1522</v>
      </c>
      <c r="G60" s="951"/>
      <c r="H60" s="952"/>
      <c r="I60" s="952"/>
      <c r="J60" s="953"/>
    </row>
    <row r="61" spans="6:10" x14ac:dyDescent="0.25">
      <c r="F61" s="949"/>
      <c r="G61" s="954"/>
      <c r="H61" s="955"/>
      <c r="I61" s="955"/>
      <c r="J61" s="956"/>
    </row>
    <row r="62" spans="6:10" ht="15.75" thickBot="1" x14ac:dyDescent="0.3">
      <c r="F62" s="950"/>
      <c r="G62" s="957"/>
      <c r="H62" s="958"/>
      <c r="I62" s="958"/>
      <c r="J62" s="959"/>
    </row>
    <row r="63" spans="6:10" ht="15.75" thickBot="1" x14ac:dyDescent="0.3">
      <c r="F63" s="17" t="s">
        <v>41</v>
      </c>
      <c r="G63" s="18">
        <f>IF(G59-G30=0,0,"Error")</f>
        <v>0</v>
      </c>
      <c r="H63" s="18">
        <f>IF(H59-H30=0,0,"Error")</f>
        <v>0</v>
      </c>
      <c r="I63" s="18">
        <f>IF(I59-I30=0,0,"Error")</f>
        <v>0</v>
      </c>
      <c r="J63" s="18">
        <f>IF(J59-J30=0,0,"Error")</f>
        <v>0</v>
      </c>
    </row>
    <row r="64" spans="6:10" ht="15.75" thickBot="1" x14ac:dyDescent="0.3">
      <c r="F64" s="634" t="s">
        <v>1523</v>
      </c>
      <c r="G64" s="960" t="s">
        <v>1524</v>
      </c>
      <c r="H64" s="937"/>
      <c r="I64" s="937"/>
      <c r="J64" s="938"/>
    </row>
    <row r="65" spans="6:10" ht="25.5" customHeight="1" thickBot="1" x14ac:dyDescent="0.3">
      <c r="F65" s="5" t="s">
        <v>17</v>
      </c>
      <c r="G65" s="927" t="s">
        <v>1525</v>
      </c>
      <c r="H65" s="928"/>
      <c r="I65" s="928"/>
      <c r="J65" s="929"/>
    </row>
    <row r="66" spans="6:10" ht="15.75" thickBot="1" x14ac:dyDescent="0.3">
      <c r="F66" s="5" t="s">
        <v>18</v>
      </c>
      <c r="G66" s="942" t="s">
        <v>106</v>
      </c>
      <c r="H66" s="943"/>
      <c r="I66" s="943"/>
      <c r="J66" s="944"/>
    </row>
    <row r="67" spans="6:10" x14ac:dyDescent="0.25">
      <c r="F67" s="919"/>
      <c r="G67" s="8">
        <v>2018</v>
      </c>
      <c r="H67" s="8">
        <v>2019</v>
      </c>
      <c r="I67" s="8">
        <v>2020</v>
      </c>
      <c r="J67" s="8">
        <v>2021</v>
      </c>
    </row>
    <row r="68" spans="6:10" ht="15.75" thickBot="1" x14ac:dyDescent="0.3">
      <c r="F68" s="920"/>
      <c r="G68" s="9" t="s">
        <v>10</v>
      </c>
      <c r="H68" s="9" t="s">
        <v>11</v>
      </c>
      <c r="I68" s="9" t="s">
        <v>11</v>
      </c>
      <c r="J68" s="9" t="s">
        <v>11</v>
      </c>
    </row>
    <row r="69" spans="6:10" ht="15.75" thickBot="1" x14ac:dyDescent="0.3">
      <c r="F69" s="5" t="s">
        <v>19</v>
      </c>
      <c r="G69" s="755">
        <v>50</v>
      </c>
      <c r="H69" s="755">
        <v>50</v>
      </c>
      <c r="I69" s="755">
        <v>50</v>
      </c>
      <c r="J69" s="755">
        <v>50</v>
      </c>
    </row>
    <row r="70" spans="6:10" ht="15.75" thickBot="1" x14ac:dyDescent="0.3">
      <c r="F70" s="5" t="s">
        <v>20</v>
      </c>
      <c r="G70" s="10">
        <f>G99</f>
        <v>75000</v>
      </c>
      <c r="H70" s="10">
        <f t="shared" ref="H70:J70" si="4">H99</f>
        <v>75000</v>
      </c>
      <c r="I70" s="10">
        <f t="shared" si="4"/>
        <v>75000</v>
      </c>
      <c r="J70" s="10">
        <f t="shared" si="4"/>
        <v>75000</v>
      </c>
    </row>
    <row r="71" spans="6:10" ht="15.75" thickBot="1" x14ac:dyDescent="0.3">
      <c r="F71" s="5" t="s">
        <v>21</v>
      </c>
      <c r="G71" s="10">
        <f>G70/G69</f>
        <v>1500</v>
      </c>
      <c r="H71" s="10">
        <f>H70/H69</f>
        <v>1500</v>
      </c>
      <c r="I71" s="10">
        <f>I70/I69</f>
        <v>1500</v>
      </c>
      <c r="J71" s="10">
        <f>J70/J69</f>
        <v>1500</v>
      </c>
    </row>
    <row r="72" spans="6:10" ht="15.75" thickBot="1" x14ac:dyDescent="0.3">
      <c r="F72" s="5" t="s">
        <v>22</v>
      </c>
      <c r="G72" s="744"/>
      <c r="H72" s="11">
        <f>H69/G69-1</f>
        <v>0</v>
      </c>
      <c r="I72" s="11">
        <f>I69/H69-1</f>
        <v>0</v>
      </c>
      <c r="J72" s="11">
        <f>J69/I69-1</f>
        <v>0</v>
      </c>
    </row>
    <row r="73" spans="6:10" ht="15.75" thickBot="1" x14ac:dyDescent="0.3">
      <c r="F73" s="5" t="s">
        <v>24</v>
      </c>
      <c r="G73" s="744"/>
      <c r="H73" s="11">
        <f>H70/G70-1</f>
        <v>0</v>
      </c>
      <c r="I73" s="11">
        <f t="shared" ref="I73:J74" si="5">I70/H70-1</f>
        <v>0</v>
      </c>
      <c r="J73" s="11">
        <f t="shared" si="5"/>
        <v>0</v>
      </c>
    </row>
    <row r="74" spans="6:10" ht="15.75" thickBot="1" x14ac:dyDescent="0.3">
      <c r="F74" s="5" t="s">
        <v>25</v>
      </c>
      <c r="G74" s="744"/>
      <c r="H74" s="11">
        <f>H71/G71-1</f>
        <v>0</v>
      </c>
      <c r="I74" s="11">
        <f t="shared" si="5"/>
        <v>0</v>
      </c>
      <c r="J74" s="11">
        <f t="shared" si="5"/>
        <v>0</v>
      </c>
    </row>
    <row r="75" spans="6:10" ht="15.75" thickBot="1" x14ac:dyDescent="0.3">
      <c r="F75" s="945" t="s">
        <v>1509</v>
      </c>
      <c r="G75" s="946"/>
      <c r="H75" s="946"/>
      <c r="I75" s="946"/>
      <c r="J75" s="947"/>
    </row>
    <row r="76" spans="6:10" x14ac:dyDescent="0.25">
      <c r="F76" s="919"/>
      <c r="G76" s="8">
        <v>2018</v>
      </c>
      <c r="H76" s="8">
        <v>2019</v>
      </c>
      <c r="I76" s="8">
        <v>2020</v>
      </c>
      <c r="J76" s="8">
        <v>2021</v>
      </c>
    </row>
    <row r="77" spans="6:10" ht="15.75" thickBot="1" x14ac:dyDescent="0.3">
      <c r="F77" s="920"/>
      <c r="G77" s="9" t="s">
        <v>10</v>
      </c>
      <c r="H77" s="9" t="s">
        <v>11</v>
      </c>
      <c r="I77" s="9" t="s">
        <v>11</v>
      </c>
      <c r="J77" s="9" t="s">
        <v>11</v>
      </c>
    </row>
    <row r="78" spans="6:10" ht="15.75" thickBot="1" x14ac:dyDescent="0.3">
      <c r="F78" s="13" t="s">
        <v>26</v>
      </c>
      <c r="G78" s="14"/>
      <c r="H78" s="14"/>
      <c r="I78" s="14"/>
      <c r="J78" s="14"/>
    </row>
    <row r="79" spans="6:10" ht="24.75" thickBot="1" x14ac:dyDescent="0.3">
      <c r="F79" s="28" t="s">
        <v>27</v>
      </c>
      <c r="G79" s="15"/>
      <c r="H79" s="29"/>
      <c r="I79" s="29"/>
      <c r="J79" s="29"/>
    </row>
    <row r="80" spans="6:10" ht="24.75" thickBot="1" x14ac:dyDescent="0.3">
      <c r="F80" s="28" t="s">
        <v>45</v>
      </c>
      <c r="G80" s="15"/>
      <c r="H80" s="29"/>
      <c r="I80" s="29"/>
      <c r="J80" s="29"/>
    </row>
    <row r="81" spans="6:10" ht="24.75" thickBot="1" x14ac:dyDescent="0.3">
      <c r="F81" s="13" t="s">
        <v>28</v>
      </c>
      <c r="G81" s="14"/>
      <c r="H81" s="14"/>
      <c r="I81" s="14"/>
      <c r="J81" s="14"/>
    </row>
    <row r="82" spans="6:10" ht="36.75" thickBot="1" x14ac:dyDescent="0.3">
      <c r="F82" s="28" t="s">
        <v>29</v>
      </c>
      <c r="G82" s="15"/>
      <c r="H82" s="14"/>
      <c r="I82" s="14"/>
      <c r="J82" s="14"/>
    </row>
    <row r="83" spans="6:10" ht="36.75" thickBot="1" x14ac:dyDescent="0.3">
      <c r="F83" s="28" t="s">
        <v>46</v>
      </c>
      <c r="G83" s="15"/>
      <c r="H83" s="14"/>
      <c r="I83" s="14"/>
      <c r="J83" s="14"/>
    </row>
    <row r="84" spans="6:10" ht="15.75" thickBot="1" x14ac:dyDescent="0.3">
      <c r="F84" s="13" t="s">
        <v>30</v>
      </c>
      <c r="G84" s="756">
        <v>75000</v>
      </c>
      <c r="H84" s="757">
        <v>75000</v>
      </c>
      <c r="I84" s="757">
        <v>75000</v>
      </c>
      <c r="J84" s="757">
        <v>75000</v>
      </c>
    </row>
    <row r="85" spans="6:10" ht="24.75" thickBot="1" x14ac:dyDescent="0.3">
      <c r="F85" s="28" t="s">
        <v>31</v>
      </c>
      <c r="G85" s="15"/>
      <c r="H85" s="14"/>
      <c r="I85" s="14"/>
      <c r="J85" s="14"/>
    </row>
    <row r="86" spans="6:10" ht="24.75" thickBot="1" x14ac:dyDescent="0.3">
      <c r="F86" s="28" t="s">
        <v>47</v>
      </c>
      <c r="G86" s="15"/>
      <c r="H86" s="14"/>
      <c r="I86" s="14"/>
      <c r="J86" s="14"/>
    </row>
    <row r="87" spans="6:10" ht="15.75" thickBot="1" x14ac:dyDescent="0.3">
      <c r="F87" s="13" t="s">
        <v>32</v>
      </c>
      <c r="G87" s="15"/>
      <c r="H87" s="14"/>
      <c r="I87" s="14"/>
      <c r="J87" s="14"/>
    </row>
    <row r="88" spans="6:10" ht="24.75" thickBot="1" x14ac:dyDescent="0.3">
      <c r="F88" s="28" t="s">
        <v>33</v>
      </c>
      <c r="G88" s="15"/>
      <c r="H88" s="14"/>
      <c r="I88" s="14"/>
      <c r="J88" s="14"/>
    </row>
    <row r="89" spans="6:10" ht="24.75" thickBot="1" x14ac:dyDescent="0.3">
      <c r="F89" s="28" t="s">
        <v>48</v>
      </c>
      <c r="G89" s="15"/>
      <c r="H89" s="14"/>
      <c r="I89" s="14"/>
      <c r="J89" s="14"/>
    </row>
    <row r="90" spans="6:10" ht="15.75" thickBot="1" x14ac:dyDescent="0.3">
      <c r="F90" s="13" t="s">
        <v>34</v>
      </c>
      <c r="G90" s="15"/>
      <c r="H90" s="14"/>
      <c r="I90" s="14"/>
      <c r="J90" s="14"/>
    </row>
    <row r="91" spans="6:10" ht="24.75" thickBot="1" x14ac:dyDescent="0.3">
      <c r="F91" s="28" t="s">
        <v>35</v>
      </c>
      <c r="G91" s="15"/>
      <c r="H91" s="14"/>
      <c r="I91" s="14"/>
      <c r="J91" s="14"/>
    </row>
    <row r="92" spans="6:10" ht="24.75" thickBot="1" x14ac:dyDescent="0.3">
      <c r="F92" s="28" t="s">
        <v>49</v>
      </c>
      <c r="G92" s="15"/>
      <c r="H92" s="14"/>
      <c r="I92" s="14"/>
      <c r="J92" s="14"/>
    </row>
    <row r="93" spans="6:10" ht="15.75" thickBot="1" x14ac:dyDescent="0.3">
      <c r="F93" s="13" t="s">
        <v>36</v>
      </c>
      <c r="G93" s="15"/>
      <c r="H93" s="14"/>
      <c r="I93" s="14"/>
      <c r="J93" s="14"/>
    </row>
    <row r="94" spans="6:10" ht="24.75" thickBot="1" x14ac:dyDescent="0.3">
      <c r="F94" s="28" t="s">
        <v>37</v>
      </c>
      <c r="G94" s="15"/>
      <c r="H94" s="14"/>
      <c r="I94" s="14"/>
      <c r="J94" s="14"/>
    </row>
    <row r="95" spans="6:10" ht="24.75" thickBot="1" x14ac:dyDescent="0.3">
      <c r="F95" s="28" t="s">
        <v>50</v>
      </c>
      <c r="G95" s="15"/>
      <c r="H95" s="14"/>
      <c r="I95" s="14"/>
      <c r="J95" s="14"/>
    </row>
    <row r="96" spans="6:10" ht="15.75" thickBot="1" x14ac:dyDescent="0.3">
      <c r="F96" s="13" t="s">
        <v>38</v>
      </c>
      <c r="G96" s="15"/>
      <c r="H96" s="14"/>
      <c r="I96" s="14"/>
      <c r="J96" s="14"/>
    </row>
    <row r="97" spans="6:10" ht="36.75" thickBot="1" x14ac:dyDescent="0.3">
      <c r="F97" s="28" t="s">
        <v>39</v>
      </c>
      <c r="G97" s="15"/>
      <c r="H97" s="14"/>
      <c r="I97" s="14"/>
      <c r="J97" s="14"/>
    </row>
    <row r="98" spans="6:10" ht="36.75" thickBot="1" x14ac:dyDescent="0.3">
      <c r="F98" s="28" t="s">
        <v>51</v>
      </c>
      <c r="G98" s="15"/>
      <c r="H98" s="14"/>
      <c r="I98" s="14"/>
      <c r="J98" s="14"/>
    </row>
    <row r="99" spans="6:10" ht="15.75" thickBot="1" x14ac:dyDescent="0.3">
      <c r="F99" s="630" t="s">
        <v>74</v>
      </c>
      <c r="G99" s="15">
        <f>G96+G93+G90+G87+G84+G81+G78</f>
        <v>75000</v>
      </c>
      <c r="H99" s="15">
        <f t="shared" ref="H99:J99" si="6">H96+H93+H90+H87+H84+H81+H78</f>
        <v>75000</v>
      </c>
      <c r="I99" s="15">
        <f t="shared" si="6"/>
        <v>75000</v>
      </c>
      <c r="J99" s="15">
        <f t="shared" si="6"/>
        <v>75000</v>
      </c>
    </row>
    <row r="100" spans="6:10" x14ac:dyDescent="0.25">
      <c r="F100" s="948" t="s">
        <v>120</v>
      </c>
      <c r="G100" s="952"/>
      <c r="H100" s="952"/>
      <c r="I100" s="952"/>
      <c r="J100" s="953"/>
    </row>
    <row r="101" spans="6:10" x14ac:dyDescent="0.25">
      <c r="F101" s="949"/>
      <c r="G101" s="955"/>
      <c r="H101" s="955"/>
      <c r="I101" s="955"/>
      <c r="J101" s="956"/>
    </row>
    <row r="102" spans="6:10" ht="15.75" thickBot="1" x14ac:dyDescent="0.3">
      <c r="F102" s="950"/>
      <c r="G102" s="958"/>
      <c r="H102" s="958"/>
      <c r="I102" s="958"/>
      <c r="J102" s="959"/>
    </row>
    <row r="103" spans="6:10" ht="15.75" thickBot="1" x14ac:dyDescent="0.3">
      <c r="F103" s="17" t="s">
        <v>41</v>
      </c>
      <c r="G103" s="18">
        <f>IF(G99-G70=0,0,"Error")</f>
        <v>0</v>
      </c>
      <c r="H103" s="18">
        <f>IF(H99-H70=0,0,"Error")</f>
        <v>0</v>
      </c>
      <c r="I103" s="18">
        <f>IF(I99-I70=0,0,"Error")</f>
        <v>0</v>
      </c>
      <c r="J103" s="18">
        <f>IF(J99-J70=0,0,"Error")</f>
        <v>0</v>
      </c>
    </row>
    <row r="104" spans="6:10" ht="15.75" thickBot="1" x14ac:dyDescent="0.3">
      <c r="F104" s="634" t="s">
        <v>1526</v>
      </c>
      <c r="G104" s="960" t="s">
        <v>1527</v>
      </c>
      <c r="H104" s="937"/>
      <c r="I104" s="937"/>
      <c r="J104" s="938"/>
    </row>
    <row r="105" spans="6:10" ht="26.25" customHeight="1" thickBot="1" x14ac:dyDescent="0.3">
      <c r="F105" s="5" t="s">
        <v>17</v>
      </c>
      <c r="G105" s="927" t="s">
        <v>1525</v>
      </c>
      <c r="H105" s="928"/>
      <c r="I105" s="928"/>
      <c r="J105" s="929"/>
    </row>
    <row r="106" spans="6:10" ht="15.75" thickBot="1" x14ac:dyDescent="0.3">
      <c r="F106" s="5" t="s">
        <v>18</v>
      </c>
      <c r="G106" s="942" t="s">
        <v>57</v>
      </c>
      <c r="H106" s="943"/>
      <c r="I106" s="943"/>
      <c r="J106" s="944"/>
    </row>
    <row r="107" spans="6:10" x14ac:dyDescent="0.25">
      <c r="F107" s="919"/>
      <c r="G107" s="8">
        <v>2018</v>
      </c>
      <c r="H107" s="8">
        <v>2019</v>
      </c>
      <c r="I107" s="8">
        <v>2020</v>
      </c>
      <c r="J107" s="8">
        <v>2021</v>
      </c>
    </row>
    <row r="108" spans="6:10" ht="15.75" thickBot="1" x14ac:dyDescent="0.3">
      <c r="F108" s="920"/>
      <c r="G108" s="9" t="s">
        <v>10</v>
      </c>
      <c r="H108" s="9" t="s">
        <v>11</v>
      </c>
      <c r="I108" s="9" t="s">
        <v>11</v>
      </c>
      <c r="J108" s="9" t="s">
        <v>11</v>
      </c>
    </row>
    <row r="109" spans="6:10" ht="15.75" thickBot="1" x14ac:dyDescent="0.3">
      <c r="F109" s="5" t="s">
        <v>19</v>
      </c>
      <c r="G109" s="755">
        <v>1</v>
      </c>
      <c r="H109" s="755">
        <v>1</v>
      </c>
      <c r="I109" s="755">
        <v>1</v>
      </c>
      <c r="J109" s="755">
        <v>1</v>
      </c>
    </row>
    <row r="110" spans="6:10" ht="15.75" thickBot="1" x14ac:dyDescent="0.3">
      <c r="F110" s="5" t="s">
        <v>20</v>
      </c>
      <c r="G110" s="10">
        <f>G139</f>
        <v>70000</v>
      </c>
      <c r="H110" s="10">
        <f t="shared" ref="H110:J110" si="7">H139</f>
        <v>65000</v>
      </c>
      <c r="I110" s="10">
        <f t="shared" si="7"/>
        <v>65000</v>
      </c>
      <c r="J110" s="10">
        <f t="shared" si="7"/>
        <v>65000</v>
      </c>
    </row>
    <row r="111" spans="6:10" ht="15.75" thickBot="1" x14ac:dyDescent="0.3">
      <c r="F111" s="5" t="s">
        <v>21</v>
      </c>
      <c r="G111" s="10">
        <f>G110/G109</f>
        <v>70000</v>
      </c>
      <c r="H111" s="10">
        <f>H110/H109</f>
        <v>65000</v>
      </c>
      <c r="I111" s="10">
        <f>I110/I109</f>
        <v>65000</v>
      </c>
      <c r="J111" s="10">
        <f>J110/J109</f>
        <v>65000</v>
      </c>
    </row>
    <row r="112" spans="6:10" ht="15.75" thickBot="1" x14ac:dyDescent="0.3">
      <c r="F112" s="5" t="s">
        <v>22</v>
      </c>
      <c r="G112" s="744"/>
      <c r="H112" s="11">
        <f>H109/G109-1</f>
        <v>0</v>
      </c>
      <c r="I112" s="11">
        <f>I109/H109-1</f>
        <v>0</v>
      </c>
      <c r="J112" s="11">
        <f>J109/I109-1</f>
        <v>0</v>
      </c>
    </row>
    <row r="113" spans="6:10" ht="15.75" thickBot="1" x14ac:dyDescent="0.3">
      <c r="F113" s="5" t="s">
        <v>24</v>
      </c>
      <c r="G113" s="744"/>
      <c r="H113" s="11">
        <f>H110/G110-1</f>
        <v>-7.1428571428571397E-2</v>
      </c>
      <c r="I113" s="11">
        <f t="shared" ref="I113:J114" si="8">I110/H110-1</f>
        <v>0</v>
      </c>
      <c r="J113" s="11">
        <f t="shared" si="8"/>
        <v>0</v>
      </c>
    </row>
    <row r="114" spans="6:10" ht="15.75" thickBot="1" x14ac:dyDescent="0.3">
      <c r="F114" s="5" t="s">
        <v>25</v>
      </c>
      <c r="G114" s="744"/>
      <c r="H114" s="11">
        <f>H111/G111-1</f>
        <v>-7.1428571428571397E-2</v>
      </c>
      <c r="I114" s="11">
        <f t="shared" si="8"/>
        <v>0</v>
      </c>
      <c r="J114" s="11">
        <f t="shared" si="8"/>
        <v>0</v>
      </c>
    </row>
    <row r="115" spans="6:10" ht="15.75" thickBot="1" x14ac:dyDescent="0.3">
      <c r="F115" s="945" t="s">
        <v>1509</v>
      </c>
      <c r="G115" s="946"/>
      <c r="H115" s="946"/>
      <c r="I115" s="946"/>
      <c r="J115" s="947"/>
    </row>
    <row r="116" spans="6:10" x14ac:dyDescent="0.25">
      <c r="F116" s="919"/>
      <c r="G116" s="8">
        <v>2018</v>
      </c>
      <c r="H116" s="8">
        <v>2019</v>
      </c>
      <c r="I116" s="8">
        <v>2020</v>
      </c>
      <c r="J116" s="8">
        <v>2021</v>
      </c>
    </row>
    <row r="117" spans="6:10" ht="15.75" thickBot="1" x14ac:dyDescent="0.3">
      <c r="F117" s="920"/>
      <c r="G117" s="9" t="s">
        <v>10</v>
      </c>
      <c r="H117" s="9" t="s">
        <v>11</v>
      </c>
      <c r="I117" s="9" t="s">
        <v>11</v>
      </c>
      <c r="J117" s="9" t="s">
        <v>11</v>
      </c>
    </row>
    <row r="118" spans="6:10" ht="15.75" thickBot="1" x14ac:dyDescent="0.3">
      <c r="F118" s="13" t="s">
        <v>26</v>
      </c>
      <c r="G118" s="14"/>
      <c r="H118" s="14"/>
      <c r="I118" s="14"/>
      <c r="J118" s="14"/>
    </row>
    <row r="119" spans="6:10" ht="24.75" thickBot="1" x14ac:dyDescent="0.3">
      <c r="F119" s="28" t="s">
        <v>27</v>
      </c>
      <c r="G119" s="15"/>
      <c r="H119" s="29"/>
      <c r="I119" s="29"/>
      <c r="J119" s="29"/>
    </row>
    <row r="120" spans="6:10" ht="24.75" thickBot="1" x14ac:dyDescent="0.3">
      <c r="F120" s="28" t="s">
        <v>45</v>
      </c>
      <c r="G120" s="15"/>
      <c r="H120" s="29"/>
      <c r="I120" s="29"/>
      <c r="J120" s="29"/>
    </row>
    <row r="121" spans="6:10" ht="24.75" thickBot="1" x14ac:dyDescent="0.3">
      <c r="F121" s="13" t="s">
        <v>28</v>
      </c>
      <c r="G121" s="14"/>
      <c r="H121" s="14"/>
      <c r="I121" s="14"/>
      <c r="J121" s="14"/>
    </row>
    <row r="122" spans="6:10" ht="36.75" thickBot="1" x14ac:dyDescent="0.3">
      <c r="F122" s="28" t="s">
        <v>29</v>
      </c>
      <c r="G122" s="15"/>
      <c r="H122" s="14"/>
      <c r="I122" s="14"/>
      <c r="J122" s="14"/>
    </row>
    <row r="123" spans="6:10" ht="36.75" thickBot="1" x14ac:dyDescent="0.3">
      <c r="F123" s="28" t="s">
        <v>46</v>
      </c>
      <c r="G123" s="15"/>
      <c r="H123" s="14"/>
      <c r="I123" s="14"/>
      <c r="J123" s="14"/>
    </row>
    <row r="124" spans="6:10" ht="15.75" thickBot="1" x14ac:dyDescent="0.3">
      <c r="F124" s="13" t="s">
        <v>30</v>
      </c>
      <c r="G124" s="756">
        <v>0</v>
      </c>
      <c r="H124" s="757">
        <v>0</v>
      </c>
      <c r="I124" s="757">
        <v>0</v>
      </c>
      <c r="J124" s="757">
        <v>0</v>
      </c>
    </row>
    <row r="125" spans="6:10" ht="24.75" thickBot="1" x14ac:dyDescent="0.3">
      <c r="F125" s="28" t="s">
        <v>31</v>
      </c>
      <c r="G125" s="15"/>
      <c r="H125" s="14"/>
      <c r="I125" s="14"/>
      <c r="J125" s="14"/>
    </row>
    <row r="126" spans="6:10" ht="24.75" thickBot="1" x14ac:dyDescent="0.3">
      <c r="F126" s="28" t="s">
        <v>47</v>
      </c>
      <c r="G126" s="15"/>
      <c r="H126" s="14"/>
      <c r="I126" s="14"/>
      <c r="J126" s="14"/>
    </row>
    <row r="127" spans="6:10" ht="15.75" thickBot="1" x14ac:dyDescent="0.3">
      <c r="F127" s="13" t="s">
        <v>32</v>
      </c>
      <c r="G127" s="15"/>
      <c r="H127" s="14"/>
      <c r="I127" s="14"/>
      <c r="J127" s="14"/>
    </row>
    <row r="128" spans="6:10" ht="24.75" thickBot="1" x14ac:dyDescent="0.3">
      <c r="F128" s="28" t="s">
        <v>33</v>
      </c>
      <c r="G128" s="15"/>
      <c r="H128" s="14"/>
      <c r="I128" s="14"/>
      <c r="J128" s="14"/>
    </row>
    <row r="129" spans="6:10" ht="24.75" thickBot="1" x14ac:dyDescent="0.3">
      <c r="F129" s="28" t="s">
        <v>48</v>
      </c>
      <c r="G129" s="15"/>
      <c r="H129" s="14"/>
      <c r="I129" s="14"/>
      <c r="J129" s="14"/>
    </row>
    <row r="130" spans="6:10" ht="15.75" thickBot="1" x14ac:dyDescent="0.3">
      <c r="F130" s="13" t="s">
        <v>34</v>
      </c>
      <c r="G130" s="15"/>
      <c r="H130" s="14"/>
      <c r="I130" s="14"/>
      <c r="J130" s="14"/>
    </row>
    <row r="131" spans="6:10" ht="24.75" thickBot="1" x14ac:dyDescent="0.3">
      <c r="F131" s="28" t="s">
        <v>35</v>
      </c>
      <c r="G131" s="15"/>
      <c r="H131" s="14"/>
      <c r="I131" s="14"/>
      <c r="J131" s="14"/>
    </row>
    <row r="132" spans="6:10" ht="24.75" thickBot="1" x14ac:dyDescent="0.3">
      <c r="F132" s="28" t="s">
        <v>49</v>
      </c>
      <c r="G132" s="15"/>
      <c r="H132" s="14"/>
      <c r="I132" s="14"/>
      <c r="J132" s="14"/>
    </row>
    <row r="133" spans="6:10" ht="15.75" thickBot="1" x14ac:dyDescent="0.3">
      <c r="F133" s="13" t="s">
        <v>36</v>
      </c>
      <c r="G133" s="15">
        <v>70000</v>
      </c>
      <c r="H133" s="14">
        <v>65000</v>
      </c>
      <c r="I133" s="14">
        <v>65000</v>
      </c>
      <c r="J133" s="14">
        <v>65000</v>
      </c>
    </row>
    <row r="134" spans="6:10" ht="24.75" thickBot="1" x14ac:dyDescent="0.3">
      <c r="F134" s="28" t="s">
        <v>37</v>
      </c>
      <c r="G134" s="15"/>
      <c r="H134" s="14"/>
      <c r="I134" s="14"/>
      <c r="J134" s="14"/>
    </row>
    <row r="135" spans="6:10" ht="24.75" thickBot="1" x14ac:dyDescent="0.3">
      <c r="F135" s="28" t="s">
        <v>50</v>
      </c>
      <c r="G135" s="15"/>
      <c r="H135" s="14"/>
      <c r="I135" s="14"/>
      <c r="J135" s="14"/>
    </row>
    <row r="136" spans="6:10" ht="15.75" thickBot="1" x14ac:dyDescent="0.3">
      <c r="F136" s="13" t="s">
        <v>38</v>
      </c>
      <c r="G136" s="15"/>
      <c r="H136" s="14"/>
      <c r="I136" s="14"/>
      <c r="J136" s="14"/>
    </row>
    <row r="137" spans="6:10" ht="36.75" thickBot="1" x14ac:dyDescent="0.3">
      <c r="F137" s="28" t="s">
        <v>39</v>
      </c>
      <c r="G137" s="15"/>
      <c r="H137" s="14"/>
      <c r="I137" s="14"/>
      <c r="J137" s="14"/>
    </row>
    <row r="138" spans="6:10" ht="36.75" thickBot="1" x14ac:dyDescent="0.3">
      <c r="F138" s="28" t="s">
        <v>51</v>
      </c>
      <c r="G138" s="15"/>
      <c r="H138" s="14"/>
      <c r="I138" s="14"/>
      <c r="J138" s="14"/>
    </row>
    <row r="139" spans="6:10" ht="15.75" thickBot="1" x14ac:dyDescent="0.3">
      <c r="F139" s="630" t="s">
        <v>74</v>
      </c>
      <c r="G139" s="15">
        <f>G136+G133+G130+G127+G124+G121+G118</f>
        <v>70000</v>
      </c>
      <c r="H139" s="15">
        <f t="shared" ref="H139:J139" si="9">H136+H133+H130+H127+H124+H121+H118</f>
        <v>65000</v>
      </c>
      <c r="I139" s="15">
        <f t="shared" si="9"/>
        <v>65000</v>
      </c>
      <c r="J139" s="15">
        <f t="shared" si="9"/>
        <v>65000</v>
      </c>
    </row>
    <row r="140" spans="6:10" x14ac:dyDescent="0.25">
      <c r="F140" s="948" t="s">
        <v>120</v>
      </c>
      <c r="G140" s="952"/>
      <c r="H140" s="952"/>
      <c r="I140" s="952"/>
      <c r="J140" s="953"/>
    </row>
    <row r="141" spans="6:10" x14ac:dyDescent="0.25">
      <c r="F141" s="949"/>
      <c r="G141" s="955"/>
      <c r="H141" s="955"/>
      <c r="I141" s="955"/>
      <c r="J141" s="956"/>
    </row>
    <row r="142" spans="6:10" ht="15.75" thickBot="1" x14ac:dyDescent="0.3">
      <c r="F142" s="950"/>
      <c r="G142" s="958"/>
      <c r="H142" s="958"/>
      <c r="I142" s="958"/>
      <c r="J142" s="959"/>
    </row>
    <row r="143" spans="6:10" ht="15.75" thickBot="1" x14ac:dyDescent="0.3">
      <c r="F143" s="17" t="s">
        <v>41</v>
      </c>
      <c r="G143" s="18">
        <f>IF(G139-G110=0,0,"Error")</f>
        <v>0</v>
      </c>
      <c r="H143" s="18">
        <f>IF(H139-H110=0,0,"Error")</f>
        <v>0</v>
      </c>
      <c r="I143" s="18">
        <f>IF(I139-I110=0,0,"Error")</f>
        <v>0</v>
      </c>
      <c r="J143" s="18">
        <f>IF(J139-J110=0,0,"Error")</f>
        <v>0</v>
      </c>
    </row>
    <row r="144" spans="6:10" ht="15.75" thickBot="1" x14ac:dyDescent="0.3">
      <c r="F144" s="933" t="s">
        <v>55</v>
      </c>
      <c r="G144" s="934"/>
      <c r="H144" s="934"/>
      <c r="I144" s="934"/>
      <c r="J144" s="935"/>
    </row>
    <row r="145" spans="6:10" ht="15.75" thickBot="1" x14ac:dyDescent="0.3">
      <c r="F145" s="933" t="s">
        <v>56</v>
      </c>
      <c r="G145" s="934"/>
      <c r="H145" s="934"/>
      <c r="I145" s="934"/>
      <c r="J145" s="935"/>
    </row>
    <row r="146" spans="6:10" ht="15.75" thickBot="1" x14ac:dyDescent="0.3">
      <c r="F146" s="20" t="s">
        <v>79</v>
      </c>
      <c r="G146" s="961" t="s">
        <v>1528</v>
      </c>
      <c r="H146" s="962"/>
      <c r="I146" s="962"/>
      <c r="J146" s="963"/>
    </row>
    <row r="147" spans="6:10" ht="15.75" thickBot="1" x14ac:dyDescent="0.3">
      <c r="F147" s="7" t="s">
        <v>16</v>
      </c>
      <c r="G147" s="964" t="s">
        <v>1529</v>
      </c>
      <c r="H147" s="965"/>
      <c r="I147" s="965"/>
      <c r="J147" s="966"/>
    </row>
    <row r="148" spans="6:10" ht="15.75" thickBot="1" x14ac:dyDescent="0.3">
      <c r="F148" s="5" t="s">
        <v>17</v>
      </c>
      <c r="G148" s="927" t="s">
        <v>106</v>
      </c>
      <c r="H148" s="928"/>
      <c r="I148" s="928"/>
      <c r="J148" s="929"/>
    </row>
    <row r="149" spans="6:10" ht="15.75" thickBot="1" x14ac:dyDescent="0.3">
      <c r="F149" s="5" t="s">
        <v>18</v>
      </c>
      <c r="G149" s="942" t="s">
        <v>709</v>
      </c>
      <c r="H149" s="943"/>
      <c r="I149" s="943"/>
      <c r="J149" s="944"/>
    </row>
    <row r="150" spans="6:10" x14ac:dyDescent="0.25">
      <c r="F150" s="919"/>
      <c r="G150" s="8">
        <v>2018</v>
      </c>
      <c r="H150" s="8">
        <v>2019</v>
      </c>
      <c r="I150" s="8">
        <v>2020</v>
      </c>
      <c r="J150" s="8">
        <v>2021</v>
      </c>
    </row>
    <row r="151" spans="6:10" ht="15.75" thickBot="1" x14ac:dyDescent="0.3">
      <c r="F151" s="920"/>
      <c r="G151" s="9" t="s">
        <v>10</v>
      </c>
      <c r="H151" s="9" t="s">
        <v>11</v>
      </c>
      <c r="I151" s="9" t="s">
        <v>11</v>
      </c>
      <c r="J151" s="9" t="s">
        <v>11</v>
      </c>
    </row>
    <row r="152" spans="6:10" ht="15.75" thickBot="1" x14ac:dyDescent="0.3">
      <c r="F152" s="5" t="s">
        <v>19</v>
      </c>
      <c r="G152" s="755"/>
      <c r="H152" s="755"/>
      <c r="I152" s="755"/>
      <c r="J152" s="755"/>
    </row>
    <row r="153" spans="6:10" ht="15.75" thickBot="1" x14ac:dyDescent="0.3">
      <c r="F153" s="5" t="s">
        <v>20</v>
      </c>
      <c r="G153" s="10">
        <f>G173-G164</f>
        <v>55000</v>
      </c>
      <c r="H153" s="10">
        <f t="shared" ref="H153:J153" si="10">H173-H164</f>
        <v>65000</v>
      </c>
      <c r="I153" s="10">
        <f t="shared" si="10"/>
        <v>65000</v>
      </c>
      <c r="J153" s="10">
        <f t="shared" si="10"/>
        <v>65000</v>
      </c>
    </row>
    <row r="154" spans="6:10" ht="15.75" thickBot="1" x14ac:dyDescent="0.3">
      <c r="F154" s="5" t="s">
        <v>21</v>
      </c>
      <c r="G154" s="10" t="e">
        <f>G153/G152</f>
        <v>#DIV/0!</v>
      </c>
      <c r="H154" s="10" t="e">
        <f t="shared" ref="H154:J154" si="11">H153/H152</f>
        <v>#DIV/0!</v>
      </c>
      <c r="I154" s="10" t="e">
        <f t="shared" si="11"/>
        <v>#DIV/0!</v>
      </c>
      <c r="J154" s="10" t="e">
        <f t="shared" si="11"/>
        <v>#DIV/0!</v>
      </c>
    </row>
    <row r="155" spans="6:10" ht="15.75" thickBot="1" x14ac:dyDescent="0.3">
      <c r="F155" s="5" t="s">
        <v>22</v>
      </c>
      <c r="G155" s="744" t="s">
        <v>23</v>
      </c>
      <c r="H155" s="11" t="e">
        <f>H152/G152-1</f>
        <v>#DIV/0!</v>
      </c>
      <c r="I155" s="11" t="e">
        <f t="shared" ref="I155:J157" si="12">I152/H152-1</f>
        <v>#DIV/0!</v>
      </c>
      <c r="J155" s="11" t="e">
        <f t="shared" si="12"/>
        <v>#DIV/0!</v>
      </c>
    </row>
    <row r="156" spans="6:10" ht="15.75" thickBot="1" x14ac:dyDescent="0.3">
      <c r="F156" s="5" t="s">
        <v>24</v>
      </c>
      <c r="G156" s="744" t="s">
        <v>23</v>
      </c>
      <c r="H156" s="11">
        <f>H153/G153-1</f>
        <v>0.18181818181818188</v>
      </c>
      <c r="I156" s="11">
        <f t="shared" si="12"/>
        <v>0</v>
      </c>
      <c r="J156" s="11">
        <f t="shared" si="12"/>
        <v>0</v>
      </c>
    </row>
    <row r="157" spans="6:10" ht="15.75" thickBot="1" x14ac:dyDescent="0.3">
      <c r="F157" s="5" t="s">
        <v>25</v>
      </c>
      <c r="G157" s="744" t="s">
        <v>23</v>
      </c>
      <c r="H157" s="11" t="e">
        <f>H154/G154-1</f>
        <v>#DIV/0!</v>
      </c>
      <c r="I157" s="11" t="e">
        <f t="shared" si="12"/>
        <v>#DIV/0!</v>
      </c>
      <c r="J157" s="11" t="e">
        <f t="shared" si="12"/>
        <v>#DIV/0!</v>
      </c>
    </row>
    <row r="158" spans="6:10" ht="15.75" thickBot="1" x14ac:dyDescent="0.3">
      <c r="F158" s="7" t="s">
        <v>16</v>
      </c>
      <c r="G158" s="964" t="s">
        <v>1530</v>
      </c>
      <c r="H158" s="965"/>
      <c r="I158" s="965"/>
      <c r="J158" s="966"/>
    </row>
    <row r="159" spans="6:10" ht="15.75" thickBot="1" x14ac:dyDescent="0.3">
      <c r="F159" s="5" t="s">
        <v>17</v>
      </c>
      <c r="G159" s="927" t="s">
        <v>106</v>
      </c>
      <c r="H159" s="928"/>
      <c r="I159" s="928"/>
      <c r="J159" s="929"/>
    </row>
    <row r="160" spans="6:10" ht="15.75" thickBot="1" x14ac:dyDescent="0.3">
      <c r="F160" s="5" t="s">
        <v>18</v>
      </c>
      <c r="G160" s="942" t="s">
        <v>709</v>
      </c>
      <c r="H160" s="943"/>
      <c r="I160" s="943"/>
      <c r="J160" s="944"/>
    </row>
    <row r="161" spans="6:10" x14ac:dyDescent="0.25">
      <c r="F161" s="919"/>
      <c r="G161" s="8">
        <v>2018</v>
      </c>
      <c r="H161" s="8">
        <v>2019</v>
      </c>
      <c r="I161" s="8">
        <v>2020</v>
      </c>
      <c r="J161" s="8">
        <v>2021</v>
      </c>
    </row>
    <row r="162" spans="6:10" ht="15.75" thickBot="1" x14ac:dyDescent="0.3">
      <c r="F162" s="920"/>
      <c r="G162" s="9" t="s">
        <v>10</v>
      </c>
      <c r="H162" s="9" t="s">
        <v>11</v>
      </c>
      <c r="I162" s="9" t="s">
        <v>11</v>
      </c>
      <c r="J162" s="9" t="s">
        <v>11</v>
      </c>
    </row>
    <row r="163" spans="6:10" ht="15.75" thickBot="1" x14ac:dyDescent="0.3">
      <c r="F163" s="5" t="s">
        <v>19</v>
      </c>
      <c r="G163" s="755">
        <v>10</v>
      </c>
      <c r="H163" s="755">
        <v>10</v>
      </c>
      <c r="I163" s="755">
        <v>10</v>
      </c>
      <c r="J163" s="755">
        <v>10</v>
      </c>
    </row>
    <row r="164" spans="6:10" ht="15.75" thickBot="1" x14ac:dyDescent="0.3">
      <c r="F164" s="5" t="s">
        <v>20</v>
      </c>
      <c r="G164" s="10">
        <v>10000</v>
      </c>
      <c r="H164" s="10">
        <v>10000</v>
      </c>
      <c r="I164" s="10">
        <v>10000</v>
      </c>
      <c r="J164" s="10">
        <v>10000</v>
      </c>
    </row>
    <row r="165" spans="6:10" ht="15.75" thickBot="1" x14ac:dyDescent="0.3">
      <c r="F165" s="5" t="s">
        <v>21</v>
      </c>
      <c r="G165" s="10">
        <f>G164/G163</f>
        <v>1000</v>
      </c>
      <c r="H165" s="10">
        <f t="shared" ref="H165:J165" si="13">H164/H163</f>
        <v>1000</v>
      </c>
      <c r="I165" s="10">
        <f t="shared" si="13"/>
        <v>1000</v>
      </c>
      <c r="J165" s="10">
        <f t="shared" si="13"/>
        <v>1000</v>
      </c>
    </row>
    <row r="166" spans="6:10" ht="15.75" thickBot="1" x14ac:dyDescent="0.3">
      <c r="F166" s="5" t="s">
        <v>22</v>
      </c>
      <c r="G166" s="744" t="s">
        <v>23</v>
      </c>
      <c r="H166" s="11">
        <f>H163/G163-1</f>
        <v>0</v>
      </c>
      <c r="I166" s="11">
        <f t="shared" ref="I166:J168" si="14">I163/H163-1</f>
        <v>0</v>
      </c>
      <c r="J166" s="11">
        <f t="shared" si="14"/>
        <v>0</v>
      </c>
    </row>
    <row r="167" spans="6:10" ht="15.75" thickBot="1" x14ac:dyDescent="0.3">
      <c r="F167" s="5" t="s">
        <v>24</v>
      </c>
      <c r="G167" s="744" t="s">
        <v>23</v>
      </c>
      <c r="H167" s="11">
        <f>H164/G164-1</f>
        <v>0</v>
      </c>
      <c r="I167" s="11">
        <f t="shared" si="14"/>
        <v>0</v>
      </c>
      <c r="J167" s="11">
        <f t="shared" si="14"/>
        <v>0</v>
      </c>
    </row>
    <row r="168" spans="6:10" ht="15.75" thickBot="1" x14ac:dyDescent="0.3">
      <c r="F168" s="5" t="s">
        <v>25</v>
      </c>
      <c r="G168" s="744" t="s">
        <v>23</v>
      </c>
      <c r="H168" s="11">
        <f>H165/G165-1</f>
        <v>0</v>
      </c>
      <c r="I168" s="11">
        <f t="shared" si="14"/>
        <v>0</v>
      </c>
      <c r="J168" s="11">
        <f t="shared" si="14"/>
        <v>0</v>
      </c>
    </row>
    <row r="169" spans="6:10" ht="15.75" thickBot="1" x14ac:dyDescent="0.3">
      <c r="F169" s="945" t="s">
        <v>1531</v>
      </c>
      <c r="G169" s="946"/>
      <c r="H169" s="946"/>
      <c r="I169" s="946"/>
      <c r="J169" s="947"/>
    </row>
    <row r="170" spans="6:10" x14ac:dyDescent="0.25">
      <c r="F170" s="919"/>
      <c r="G170" s="8">
        <v>2018</v>
      </c>
      <c r="H170" s="8">
        <v>2019</v>
      </c>
      <c r="I170" s="8">
        <v>2020</v>
      </c>
      <c r="J170" s="8">
        <v>2021</v>
      </c>
    </row>
    <row r="171" spans="6:10" ht="15.75" thickBot="1" x14ac:dyDescent="0.3">
      <c r="F171" s="920"/>
      <c r="G171" s="9" t="s">
        <v>10</v>
      </c>
      <c r="H171" s="9" t="s">
        <v>11</v>
      </c>
      <c r="I171" s="9" t="s">
        <v>11</v>
      </c>
      <c r="J171" s="9" t="s">
        <v>11</v>
      </c>
    </row>
    <row r="172" spans="6:10" ht="15.75" thickBot="1" x14ac:dyDescent="0.3">
      <c r="F172" s="13" t="s">
        <v>58</v>
      </c>
      <c r="G172" s="14"/>
      <c r="H172" s="14"/>
      <c r="I172" s="14"/>
      <c r="J172" s="14"/>
    </row>
    <row r="173" spans="6:10" ht="15.75" thickBot="1" x14ac:dyDescent="0.3">
      <c r="F173" s="13" t="s">
        <v>59</v>
      </c>
      <c r="G173" s="15">
        <v>65000</v>
      </c>
      <c r="H173" s="14">
        <v>75000</v>
      </c>
      <c r="I173" s="14">
        <v>75000</v>
      </c>
      <c r="J173" s="14">
        <v>75000</v>
      </c>
    </row>
    <row r="174" spans="6:10" ht="15.75" thickBot="1" x14ac:dyDescent="0.3">
      <c r="F174" s="16" t="s">
        <v>40</v>
      </c>
      <c r="G174" s="15">
        <f>G173+G172</f>
        <v>65000</v>
      </c>
      <c r="H174" s="15">
        <f t="shared" ref="H174:J174" si="15">H173+H172</f>
        <v>75000</v>
      </c>
      <c r="I174" s="15">
        <f t="shared" si="15"/>
        <v>75000</v>
      </c>
      <c r="J174" s="15">
        <f t="shared" si="15"/>
        <v>75000</v>
      </c>
    </row>
    <row r="175" spans="6:10" x14ac:dyDescent="0.25">
      <c r="F175" s="948" t="s">
        <v>60</v>
      </c>
      <c r="G175" s="951"/>
      <c r="H175" s="952"/>
      <c r="I175" s="952"/>
      <c r="J175" s="953"/>
    </row>
    <row r="176" spans="6:10" x14ac:dyDescent="0.25">
      <c r="F176" s="949"/>
      <c r="G176" s="954"/>
      <c r="H176" s="955"/>
      <c r="I176" s="955"/>
      <c r="J176" s="956"/>
    </row>
    <row r="177" spans="6:10" ht="15.75" thickBot="1" x14ac:dyDescent="0.3">
      <c r="F177" s="950"/>
      <c r="G177" s="957"/>
      <c r="H177" s="958"/>
      <c r="I177" s="958"/>
      <c r="J177" s="959"/>
    </row>
    <row r="178" spans="6:10" ht="15.75" thickBot="1" x14ac:dyDescent="0.3">
      <c r="F178" s="20" t="s">
        <v>61</v>
      </c>
      <c r="G178" s="961" t="s">
        <v>1296</v>
      </c>
      <c r="H178" s="962"/>
      <c r="I178" s="962"/>
      <c r="J178" s="963"/>
    </row>
    <row r="179" spans="6:10" ht="15.75" thickBot="1" x14ac:dyDescent="0.3">
      <c r="F179" s="7" t="s">
        <v>129</v>
      </c>
      <c r="G179" s="960" t="s">
        <v>106</v>
      </c>
      <c r="H179" s="937"/>
      <c r="I179" s="937"/>
      <c r="J179" s="938"/>
    </row>
    <row r="180" spans="6:10" ht="15.75" thickBot="1" x14ac:dyDescent="0.3">
      <c r="F180" s="5" t="s">
        <v>17</v>
      </c>
      <c r="G180" s="927" t="s">
        <v>1532</v>
      </c>
      <c r="H180" s="928"/>
      <c r="I180" s="928"/>
      <c r="J180" s="929"/>
    </row>
    <row r="181" spans="6:10" ht="15.75" thickBot="1" x14ac:dyDescent="0.3">
      <c r="F181" s="5" t="s">
        <v>18</v>
      </c>
      <c r="G181" s="942" t="s">
        <v>1533</v>
      </c>
      <c r="H181" s="943"/>
      <c r="I181" s="943"/>
      <c r="J181" s="944"/>
    </row>
    <row r="182" spans="6:10" x14ac:dyDescent="0.25">
      <c r="F182" s="919"/>
      <c r="G182" s="8">
        <v>2018</v>
      </c>
      <c r="H182" s="8">
        <v>2019</v>
      </c>
      <c r="I182" s="8">
        <v>2020</v>
      </c>
      <c r="J182" s="8">
        <v>2021</v>
      </c>
    </row>
    <row r="183" spans="6:10" ht="15.75" thickBot="1" x14ac:dyDescent="0.3">
      <c r="F183" s="920"/>
      <c r="G183" s="9" t="s">
        <v>10</v>
      </c>
      <c r="H183" s="9" t="s">
        <v>11</v>
      </c>
      <c r="I183" s="9" t="s">
        <v>11</v>
      </c>
      <c r="J183" s="9" t="s">
        <v>11</v>
      </c>
    </row>
    <row r="184" spans="6:10" ht="15.75" thickBot="1" x14ac:dyDescent="0.3">
      <c r="F184" s="5" t="s">
        <v>19</v>
      </c>
      <c r="G184" s="755"/>
      <c r="H184" s="755"/>
      <c r="I184" s="755"/>
      <c r="J184" s="755"/>
    </row>
    <row r="185" spans="6:10" ht="15.75" thickBot="1" x14ac:dyDescent="0.3">
      <c r="F185" s="5" t="s">
        <v>20</v>
      </c>
      <c r="G185" s="10">
        <f>G195</f>
        <v>110000</v>
      </c>
      <c r="H185" s="10">
        <f t="shared" ref="H185:J185" si="16">H195</f>
        <v>110000</v>
      </c>
      <c r="I185" s="10">
        <f t="shared" si="16"/>
        <v>110000</v>
      </c>
      <c r="J185" s="10">
        <f t="shared" si="16"/>
        <v>110000</v>
      </c>
    </row>
    <row r="186" spans="6:10" ht="15.75" thickBot="1" x14ac:dyDescent="0.3">
      <c r="F186" s="5" t="s">
        <v>21</v>
      </c>
      <c r="G186" s="10" t="e">
        <f>G185/G184</f>
        <v>#DIV/0!</v>
      </c>
      <c r="H186" s="10" t="e">
        <f t="shared" ref="H186:J186" si="17">H185/H184</f>
        <v>#DIV/0!</v>
      </c>
      <c r="I186" s="10" t="e">
        <f t="shared" si="17"/>
        <v>#DIV/0!</v>
      </c>
      <c r="J186" s="10" t="e">
        <f t="shared" si="17"/>
        <v>#DIV/0!</v>
      </c>
    </row>
    <row r="187" spans="6:10" ht="15.75" thickBot="1" x14ac:dyDescent="0.3">
      <c r="F187" s="5" t="s">
        <v>22</v>
      </c>
      <c r="G187" s="744" t="s">
        <v>23</v>
      </c>
      <c r="H187" s="11" t="e">
        <f>H184/G184-1</f>
        <v>#DIV/0!</v>
      </c>
      <c r="I187" s="11" t="e">
        <f t="shared" ref="I187:J189" si="18">I184/H184-1</f>
        <v>#DIV/0!</v>
      </c>
      <c r="J187" s="11" t="e">
        <f t="shared" si="18"/>
        <v>#DIV/0!</v>
      </c>
    </row>
    <row r="188" spans="6:10" ht="15.75" thickBot="1" x14ac:dyDescent="0.3">
      <c r="F188" s="5" t="s">
        <v>24</v>
      </c>
      <c r="G188" s="744" t="s">
        <v>23</v>
      </c>
      <c r="H188" s="11">
        <f>H185/G185-1</f>
        <v>0</v>
      </c>
      <c r="I188" s="11">
        <f t="shared" si="18"/>
        <v>0</v>
      </c>
      <c r="J188" s="11">
        <f t="shared" si="18"/>
        <v>0</v>
      </c>
    </row>
    <row r="189" spans="6:10" ht="15.75" thickBot="1" x14ac:dyDescent="0.3">
      <c r="F189" s="5" t="s">
        <v>25</v>
      </c>
      <c r="G189" s="744" t="s">
        <v>23</v>
      </c>
      <c r="H189" s="11" t="e">
        <f>H186/G186-1</f>
        <v>#DIV/0!</v>
      </c>
      <c r="I189" s="11" t="e">
        <f t="shared" si="18"/>
        <v>#DIV/0!</v>
      </c>
      <c r="J189" s="11" t="e">
        <f t="shared" si="18"/>
        <v>#DIV/0!</v>
      </c>
    </row>
    <row r="190" spans="6:10" ht="15.75" thickBot="1" x14ac:dyDescent="0.3">
      <c r="F190" s="945" t="s">
        <v>1041</v>
      </c>
      <c r="G190" s="946"/>
      <c r="H190" s="946"/>
      <c r="I190" s="946"/>
      <c r="J190" s="947"/>
    </row>
    <row r="191" spans="6:10" x14ac:dyDescent="0.25">
      <c r="F191" s="919"/>
      <c r="G191" s="8">
        <v>2018</v>
      </c>
      <c r="H191" s="8">
        <v>2019</v>
      </c>
      <c r="I191" s="8">
        <v>2020</v>
      </c>
      <c r="J191" s="8">
        <v>2021</v>
      </c>
    </row>
    <row r="192" spans="6:10" ht="15.75" thickBot="1" x14ac:dyDescent="0.3">
      <c r="F192" s="920"/>
      <c r="G192" s="9" t="s">
        <v>10</v>
      </c>
      <c r="H192" s="9" t="s">
        <v>11</v>
      </c>
      <c r="I192" s="9" t="s">
        <v>11</v>
      </c>
      <c r="J192" s="9" t="s">
        <v>11</v>
      </c>
    </row>
    <row r="193" spans="6:10" ht="15.75" thickBot="1" x14ac:dyDescent="0.3">
      <c r="F193" s="13" t="s">
        <v>58</v>
      </c>
      <c r="G193" s="14"/>
      <c r="H193" s="14"/>
      <c r="I193" s="14"/>
      <c r="J193" s="14"/>
    </row>
    <row r="194" spans="6:10" ht="15.75" thickBot="1" x14ac:dyDescent="0.3">
      <c r="F194" s="13" t="s">
        <v>59</v>
      </c>
      <c r="G194" s="15">
        <v>110000</v>
      </c>
      <c r="H194" s="15">
        <v>110000</v>
      </c>
      <c r="I194" s="15">
        <v>110000</v>
      </c>
      <c r="J194" s="15">
        <v>110000</v>
      </c>
    </row>
    <row r="195" spans="6:10" ht="15.75" thickBot="1" x14ac:dyDescent="0.3">
      <c r="F195" s="16" t="s">
        <v>74</v>
      </c>
      <c r="G195" s="15">
        <f>G194+G193</f>
        <v>110000</v>
      </c>
      <c r="H195" s="15">
        <f t="shared" ref="H195:J195" si="19">H194+H193</f>
        <v>110000</v>
      </c>
      <c r="I195" s="15">
        <f t="shared" si="19"/>
        <v>110000</v>
      </c>
      <c r="J195" s="15">
        <f t="shared" si="19"/>
        <v>110000</v>
      </c>
    </row>
    <row r="196" spans="6:10" x14ac:dyDescent="0.25">
      <c r="F196" s="948" t="s">
        <v>62</v>
      </c>
      <c r="G196" s="951"/>
      <c r="H196" s="952"/>
      <c r="I196" s="952"/>
      <c r="J196" s="953"/>
    </row>
    <row r="197" spans="6:10" x14ac:dyDescent="0.25">
      <c r="F197" s="949"/>
      <c r="G197" s="954"/>
      <c r="H197" s="955"/>
      <c r="I197" s="955"/>
      <c r="J197" s="956"/>
    </row>
    <row r="198" spans="6:10" ht="15.75" thickBot="1" x14ac:dyDescent="0.3">
      <c r="F198" s="950"/>
      <c r="G198" s="957"/>
      <c r="H198" s="958"/>
      <c r="I198" s="958"/>
      <c r="J198" s="959"/>
    </row>
    <row r="199" spans="6:10" ht="15.75" thickBot="1" x14ac:dyDescent="0.3">
      <c r="F199" s="933" t="s">
        <v>63</v>
      </c>
      <c r="G199" s="934"/>
      <c r="H199" s="934"/>
      <c r="I199" s="934"/>
      <c r="J199" s="935"/>
    </row>
    <row r="200" spans="6:10" ht="15.75" thickBot="1" x14ac:dyDescent="0.3">
      <c r="F200" s="933" t="s">
        <v>64</v>
      </c>
      <c r="G200" s="934"/>
      <c r="H200" s="934"/>
      <c r="I200" s="934"/>
      <c r="J200" s="935"/>
    </row>
    <row r="201" spans="6:10" ht="15.75" thickBot="1" x14ac:dyDescent="0.3">
      <c r="F201" s="20" t="s">
        <v>61</v>
      </c>
      <c r="G201" s="967" t="s">
        <v>1534</v>
      </c>
      <c r="H201" s="968"/>
      <c r="I201" s="968"/>
      <c r="J201" s="969"/>
    </row>
    <row r="202" spans="6:10" ht="15.75" thickBot="1" x14ac:dyDescent="0.3">
      <c r="F202" s="7" t="s">
        <v>16</v>
      </c>
      <c r="G202" s="960" t="s">
        <v>106</v>
      </c>
      <c r="H202" s="937"/>
      <c r="I202" s="937"/>
      <c r="J202" s="938"/>
    </row>
    <row r="203" spans="6:10" ht="15.75" thickBot="1" x14ac:dyDescent="0.3">
      <c r="F203" s="5" t="s">
        <v>17</v>
      </c>
      <c r="G203" s="927" t="s">
        <v>106</v>
      </c>
      <c r="H203" s="928"/>
      <c r="I203" s="928"/>
      <c r="J203" s="929"/>
    </row>
    <row r="204" spans="6:10" ht="15.75" thickBot="1" x14ac:dyDescent="0.3">
      <c r="F204" s="5" t="s">
        <v>18</v>
      </c>
      <c r="G204" s="942" t="s">
        <v>106</v>
      </c>
      <c r="H204" s="943"/>
      <c r="I204" s="943"/>
      <c r="J204" s="944"/>
    </row>
    <row r="205" spans="6:10" x14ac:dyDescent="0.25">
      <c r="F205" s="919"/>
      <c r="G205" s="8">
        <v>2018</v>
      </c>
      <c r="H205" s="8">
        <v>2019</v>
      </c>
      <c r="I205" s="8">
        <v>2020</v>
      </c>
      <c r="J205" s="8">
        <v>2021</v>
      </c>
    </row>
    <row r="206" spans="6:10" ht="15.75" thickBot="1" x14ac:dyDescent="0.3">
      <c r="F206" s="920"/>
      <c r="G206" s="9" t="s">
        <v>10</v>
      </c>
      <c r="H206" s="9" t="s">
        <v>11</v>
      </c>
      <c r="I206" s="9" t="s">
        <v>11</v>
      </c>
      <c r="J206" s="9" t="s">
        <v>11</v>
      </c>
    </row>
    <row r="207" spans="6:10" ht="15.75" thickBot="1" x14ac:dyDescent="0.3">
      <c r="F207" s="5" t="s">
        <v>19</v>
      </c>
      <c r="G207" s="755"/>
      <c r="H207" s="755"/>
      <c r="I207" s="755"/>
      <c r="J207" s="10"/>
    </row>
    <row r="208" spans="6:10" ht="15.75" thickBot="1" x14ac:dyDescent="0.3">
      <c r="F208" s="5" t="s">
        <v>20</v>
      </c>
      <c r="G208" s="10">
        <f>G218</f>
        <v>128502</v>
      </c>
      <c r="H208" s="10">
        <f t="shared" ref="H208:I208" si="20">H218</f>
        <v>180000</v>
      </c>
      <c r="I208" s="10">
        <f t="shared" si="20"/>
        <v>170000</v>
      </c>
      <c r="J208" s="10"/>
    </row>
    <row r="209" spans="6:10" ht="15.75" thickBot="1" x14ac:dyDescent="0.3">
      <c r="F209" s="5" t="s">
        <v>21</v>
      </c>
      <c r="G209" s="10" t="e">
        <f>G208/G207</f>
        <v>#DIV/0!</v>
      </c>
      <c r="H209" s="10" t="e">
        <f t="shared" ref="H209:J209" si="21">H208/H207</f>
        <v>#DIV/0!</v>
      </c>
      <c r="I209" s="10" t="e">
        <f t="shared" si="21"/>
        <v>#DIV/0!</v>
      </c>
      <c r="J209" s="10" t="e">
        <f t="shared" si="21"/>
        <v>#DIV/0!</v>
      </c>
    </row>
    <row r="210" spans="6:10" ht="15.75" thickBot="1" x14ac:dyDescent="0.3">
      <c r="F210" s="5" t="s">
        <v>22</v>
      </c>
      <c r="G210" s="744" t="s">
        <v>23</v>
      </c>
      <c r="H210" s="11" t="e">
        <f>H207/G207-1</f>
        <v>#DIV/0!</v>
      </c>
      <c r="I210" s="11" t="e">
        <f t="shared" ref="I210:J212" si="22">I207/H207-1</f>
        <v>#DIV/0!</v>
      </c>
      <c r="J210" s="11" t="e">
        <f t="shared" si="22"/>
        <v>#DIV/0!</v>
      </c>
    </row>
    <row r="211" spans="6:10" ht="15.75" thickBot="1" x14ac:dyDescent="0.3">
      <c r="F211" s="5" t="s">
        <v>24</v>
      </c>
      <c r="G211" s="744" t="s">
        <v>23</v>
      </c>
      <c r="H211" s="11">
        <f>H208/G208-1</f>
        <v>0.40075640846056881</v>
      </c>
      <c r="I211" s="11">
        <f t="shared" si="22"/>
        <v>-5.555555555555558E-2</v>
      </c>
      <c r="J211" s="11">
        <f t="shared" si="22"/>
        <v>-1</v>
      </c>
    </row>
    <row r="212" spans="6:10" ht="15.75" thickBot="1" x14ac:dyDescent="0.3">
      <c r="F212" s="5" t="s">
        <v>25</v>
      </c>
      <c r="G212" s="744" t="s">
        <v>23</v>
      </c>
      <c r="H212" s="11" t="e">
        <f>H209/G209-1</f>
        <v>#DIV/0!</v>
      </c>
      <c r="I212" s="11" t="e">
        <f t="shared" si="22"/>
        <v>#DIV/0!</v>
      </c>
      <c r="J212" s="11" t="e">
        <f t="shared" si="22"/>
        <v>#DIV/0!</v>
      </c>
    </row>
    <row r="213" spans="6:10" ht="15.75" thickBot="1" x14ac:dyDescent="0.3">
      <c r="F213" s="945" t="s">
        <v>1031</v>
      </c>
      <c r="G213" s="946"/>
      <c r="H213" s="946"/>
      <c r="I213" s="946"/>
      <c r="J213" s="947"/>
    </row>
    <row r="214" spans="6:10" x14ac:dyDescent="0.25">
      <c r="F214" s="919"/>
      <c r="G214" s="8">
        <v>2018</v>
      </c>
      <c r="H214" s="8">
        <v>2019</v>
      </c>
      <c r="I214" s="8">
        <v>2020</v>
      </c>
      <c r="J214" s="8">
        <v>2021</v>
      </c>
    </row>
    <row r="215" spans="6:10" ht="15.75" thickBot="1" x14ac:dyDescent="0.3">
      <c r="F215" s="920"/>
      <c r="G215" s="9" t="s">
        <v>10</v>
      </c>
      <c r="H215" s="9" t="s">
        <v>11</v>
      </c>
      <c r="I215" s="9" t="s">
        <v>11</v>
      </c>
      <c r="J215" s="9" t="s">
        <v>11</v>
      </c>
    </row>
    <row r="216" spans="6:10" ht="15.75" thickBot="1" x14ac:dyDescent="0.3">
      <c r="F216" s="13" t="s">
        <v>58</v>
      </c>
      <c r="G216" s="14"/>
      <c r="H216" s="14"/>
      <c r="I216" s="14"/>
      <c r="J216" s="14"/>
    </row>
    <row r="217" spans="6:10" ht="15.75" thickBot="1" x14ac:dyDescent="0.3">
      <c r="F217" s="13" t="s">
        <v>59</v>
      </c>
      <c r="G217" s="15">
        <v>128502</v>
      </c>
      <c r="H217" s="14">
        <v>180000</v>
      </c>
      <c r="I217" s="14">
        <v>170000</v>
      </c>
      <c r="J217" s="14"/>
    </row>
    <row r="218" spans="6:10" ht="15.75" thickBot="1" x14ac:dyDescent="0.3">
      <c r="F218" s="16" t="s">
        <v>40</v>
      </c>
      <c r="G218" s="15">
        <f>G217+G216</f>
        <v>128502</v>
      </c>
      <c r="H218" s="15">
        <f t="shared" ref="H218:J218" si="23">H217+H216</f>
        <v>180000</v>
      </c>
      <c r="I218" s="15">
        <f t="shared" si="23"/>
        <v>170000</v>
      </c>
      <c r="J218" s="15">
        <f t="shared" si="23"/>
        <v>0</v>
      </c>
    </row>
    <row r="219" spans="6:10" x14ac:dyDescent="0.25">
      <c r="F219" s="948" t="s">
        <v>60</v>
      </c>
      <c r="G219" s="951"/>
      <c r="H219" s="952"/>
      <c r="I219" s="952"/>
      <c r="J219" s="953"/>
    </row>
    <row r="220" spans="6:10" x14ac:dyDescent="0.25">
      <c r="F220" s="949"/>
      <c r="G220" s="954"/>
      <c r="H220" s="955"/>
      <c r="I220" s="955"/>
      <c r="J220" s="956"/>
    </row>
    <row r="221" spans="6:10" ht="15.75" thickBot="1" x14ac:dyDescent="0.3">
      <c r="F221" s="950"/>
      <c r="G221" s="957"/>
      <c r="H221" s="958"/>
      <c r="I221" s="958"/>
      <c r="J221" s="959"/>
    </row>
    <row r="222" spans="6:10" ht="15.75" thickBot="1" x14ac:dyDescent="0.3">
      <c r="F222" s="20" t="s">
        <v>61</v>
      </c>
      <c r="G222" s="961" t="s">
        <v>1535</v>
      </c>
      <c r="H222" s="962"/>
      <c r="I222" s="962"/>
      <c r="J222" s="963"/>
    </row>
    <row r="223" spans="6:10" ht="15.75" thickBot="1" x14ac:dyDescent="0.3">
      <c r="F223" s="7" t="s">
        <v>129</v>
      </c>
      <c r="G223" s="960" t="s">
        <v>106</v>
      </c>
      <c r="H223" s="937"/>
      <c r="I223" s="937"/>
      <c r="J223" s="938"/>
    </row>
    <row r="224" spans="6:10" ht="15.75" thickBot="1" x14ac:dyDescent="0.3">
      <c r="F224" s="5" t="s">
        <v>17</v>
      </c>
      <c r="G224" s="927" t="s">
        <v>106</v>
      </c>
      <c r="H224" s="928"/>
      <c r="I224" s="928"/>
      <c r="J224" s="929"/>
    </row>
    <row r="225" spans="6:10" ht="15.75" thickBot="1" x14ac:dyDescent="0.3">
      <c r="F225" s="5" t="s">
        <v>18</v>
      </c>
      <c r="G225" s="942" t="s">
        <v>106</v>
      </c>
      <c r="H225" s="943"/>
      <c r="I225" s="943"/>
      <c r="J225" s="944"/>
    </row>
    <row r="226" spans="6:10" x14ac:dyDescent="0.25">
      <c r="F226" s="919"/>
      <c r="G226" s="8">
        <v>2018</v>
      </c>
      <c r="H226" s="8">
        <v>2019</v>
      </c>
      <c r="I226" s="8">
        <v>2020</v>
      </c>
      <c r="J226" s="8">
        <v>2021</v>
      </c>
    </row>
    <row r="227" spans="6:10" ht="15.75" thickBot="1" x14ac:dyDescent="0.3">
      <c r="F227" s="920"/>
      <c r="G227" s="9" t="s">
        <v>10</v>
      </c>
      <c r="H227" s="9" t="s">
        <v>11</v>
      </c>
      <c r="I227" s="9" t="s">
        <v>11</v>
      </c>
      <c r="J227" s="9" t="s">
        <v>11</v>
      </c>
    </row>
    <row r="228" spans="6:10" ht="15.75" thickBot="1" x14ac:dyDescent="0.3">
      <c r="F228" s="5" t="s">
        <v>19</v>
      </c>
      <c r="G228" s="755"/>
      <c r="H228" s="755"/>
      <c r="I228" s="755"/>
      <c r="J228" s="10"/>
    </row>
    <row r="229" spans="6:10" ht="15.75" thickBot="1" x14ac:dyDescent="0.3">
      <c r="F229" s="5" t="s">
        <v>20</v>
      </c>
      <c r="G229" s="10">
        <f>G239</f>
        <v>161498</v>
      </c>
      <c r="H229" s="10">
        <f t="shared" ref="H229:I229" si="24">H239</f>
        <v>150000</v>
      </c>
      <c r="I229" s="10">
        <f t="shared" si="24"/>
        <v>160000</v>
      </c>
      <c r="J229" s="10"/>
    </row>
    <row r="230" spans="6:10" ht="15.75" thickBot="1" x14ac:dyDescent="0.3">
      <c r="F230" s="5" t="s">
        <v>21</v>
      </c>
      <c r="G230" s="10" t="e">
        <f>G229/G228</f>
        <v>#DIV/0!</v>
      </c>
      <c r="H230" s="10" t="e">
        <f t="shared" ref="H230:J230" si="25">H229/H228</f>
        <v>#DIV/0!</v>
      </c>
      <c r="I230" s="10" t="e">
        <f t="shared" si="25"/>
        <v>#DIV/0!</v>
      </c>
      <c r="J230" s="10" t="e">
        <f t="shared" si="25"/>
        <v>#DIV/0!</v>
      </c>
    </row>
    <row r="231" spans="6:10" ht="15.75" thickBot="1" x14ac:dyDescent="0.3">
      <c r="F231" s="5" t="s">
        <v>22</v>
      </c>
      <c r="G231" s="744" t="s">
        <v>23</v>
      </c>
      <c r="H231" s="11" t="e">
        <f>H228/G228-1</f>
        <v>#DIV/0!</v>
      </c>
      <c r="I231" s="11" t="e">
        <f t="shared" ref="I231:J233" si="26">I228/H228-1</f>
        <v>#DIV/0!</v>
      </c>
      <c r="J231" s="11" t="e">
        <f t="shared" si="26"/>
        <v>#DIV/0!</v>
      </c>
    </row>
    <row r="232" spans="6:10" ht="15.75" thickBot="1" x14ac:dyDescent="0.3">
      <c r="F232" s="5" t="s">
        <v>24</v>
      </c>
      <c r="G232" s="744" t="s">
        <v>23</v>
      </c>
      <c r="H232" s="11">
        <f>H229/G229-1</f>
        <v>-7.1195928122948837E-2</v>
      </c>
      <c r="I232" s="11">
        <f t="shared" si="26"/>
        <v>6.6666666666666652E-2</v>
      </c>
      <c r="J232" s="11">
        <f t="shared" si="26"/>
        <v>-1</v>
      </c>
    </row>
    <row r="233" spans="6:10" ht="15.75" thickBot="1" x14ac:dyDescent="0.3">
      <c r="F233" s="5" t="s">
        <v>25</v>
      </c>
      <c r="G233" s="744" t="s">
        <v>23</v>
      </c>
      <c r="H233" s="11" t="e">
        <f>H230/G230-1</f>
        <v>#DIV/0!</v>
      </c>
      <c r="I233" s="11" t="e">
        <f t="shared" si="26"/>
        <v>#DIV/0!</v>
      </c>
      <c r="J233" s="11" t="e">
        <f t="shared" si="26"/>
        <v>#DIV/0!</v>
      </c>
    </row>
    <row r="234" spans="6:10" ht="15.75" thickBot="1" x14ac:dyDescent="0.3">
      <c r="F234" s="945" t="s">
        <v>1041</v>
      </c>
      <c r="G234" s="946"/>
      <c r="H234" s="946"/>
      <c r="I234" s="946"/>
      <c r="J234" s="947"/>
    </row>
    <row r="235" spans="6:10" x14ac:dyDescent="0.25">
      <c r="F235" s="919"/>
      <c r="G235" s="8">
        <v>2018</v>
      </c>
      <c r="H235" s="8">
        <v>2019</v>
      </c>
      <c r="I235" s="8">
        <v>2020</v>
      </c>
      <c r="J235" s="8">
        <v>2021</v>
      </c>
    </row>
    <row r="236" spans="6:10" ht="15.75" thickBot="1" x14ac:dyDescent="0.3">
      <c r="F236" s="920"/>
      <c r="G236" s="9" t="s">
        <v>10</v>
      </c>
      <c r="H236" s="9" t="s">
        <v>11</v>
      </c>
      <c r="I236" s="9" t="s">
        <v>11</v>
      </c>
      <c r="J236" s="9" t="s">
        <v>11</v>
      </c>
    </row>
    <row r="237" spans="6:10" ht="15.75" thickBot="1" x14ac:dyDescent="0.3">
      <c r="F237" s="13" t="s">
        <v>58</v>
      </c>
      <c r="G237" s="14"/>
      <c r="H237" s="14"/>
      <c r="I237" s="14"/>
      <c r="J237" s="14"/>
    </row>
    <row r="238" spans="6:10" ht="15.75" thickBot="1" x14ac:dyDescent="0.3">
      <c r="F238" s="13" t="s">
        <v>59</v>
      </c>
      <c r="G238" s="15">
        <v>161498</v>
      </c>
      <c r="H238" s="14">
        <v>150000</v>
      </c>
      <c r="I238" s="14">
        <v>160000</v>
      </c>
      <c r="J238" s="14"/>
    </row>
    <row r="239" spans="6:10" ht="15.75" thickBot="1" x14ac:dyDescent="0.3">
      <c r="F239" s="16" t="s">
        <v>74</v>
      </c>
      <c r="G239" s="15">
        <f>G238+G237</f>
        <v>161498</v>
      </c>
      <c r="H239" s="15">
        <f t="shared" ref="H239:J239" si="27">H238+H237</f>
        <v>150000</v>
      </c>
      <c r="I239" s="15">
        <f t="shared" si="27"/>
        <v>160000</v>
      </c>
      <c r="J239" s="15">
        <f t="shared" si="27"/>
        <v>0</v>
      </c>
    </row>
    <row r="240" spans="6:10" x14ac:dyDescent="0.25">
      <c r="F240" s="948" t="s">
        <v>62</v>
      </c>
      <c r="G240" s="951"/>
      <c r="H240" s="952"/>
      <c r="I240" s="952"/>
      <c r="J240" s="953"/>
    </row>
    <row r="241" spans="6:10" x14ac:dyDescent="0.25">
      <c r="F241" s="949"/>
      <c r="G241" s="954"/>
      <c r="H241" s="955"/>
      <c r="I241" s="955"/>
      <c r="J241" s="956"/>
    </row>
    <row r="242" spans="6:10" ht="15.75" thickBot="1" x14ac:dyDescent="0.3">
      <c r="F242" s="950"/>
      <c r="G242" s="957"/>
      <c r="H242" s="958"/>
      <c r="I242" s="958"/>
      <c r="J242" s="959"/>
    </row>
    <row r="243" spans="6:10" ht="15.75" thickBot="1" x14ac:dyDescent="0.3">
      <c r="F243" s="22"/>
      <c r="G243" s="23"/>
      <c r="H243" s="23"/>
      <c r="I243" s="23"/>
      <c r="J243" s="23"/>
    </row>
    <row r="244" spans="6:10" ht="24.75" thickBot="1" x14ac:dyDescent="0.3">
      <c r="F244" s="6" t="s">
        <v>82</v>
      </c>
      <c r="G244" s="24">
        <f>+G229+G208+G185+G153+G70+G30+G164+G110</f>
        <v>911300</v>
      </c>
      <c r="H244" s="24">
        <f t="shared" ref="H244:J244" si="28">+H229+H208+H185+H153+H70+H30+H164+H110</f>
        <v>995000</v>
      </c>
      <c r="I244" s="24">
        <f t="shared" si="28"/>
        <v>995000</v>
      </c>
      <c r="J244" s="24">
        <f t="shared" si="28"/>
        <v>665000</v>
      </c>
    </row>
    <row r="245" spans="6:10" ht="24.75" thickBot="1" x14ac:dyDescent="0.3">
      <c r="F245" s="6" t="s">
        <v>83</v>
      </c>
      <c r="G245" s="24">
        <f>G238+G218+G195+G174+G139+G99+G59</f>
        <v>911300</v>
      </c>
      <c r="H245" s="24">
        <f t="shared" ref="H245:J245" si="29">H238+H218+H195+H174+H139+H99+H59</f>
        <v>995000</v>
      </c>
      <c r="I245" s="24">
        <f t="shared" si="29"/>
        <v>995000</v>
      </c>
      <c r="J245" s="24">
        <f t="shared" si="29"/>
        <v>665000</v>
      </c>
    </row>
    <row r="246" spans="6:10" ht="24.75" thickBot="1" x14ac:dyDescent="0.3">
      <c r="F246" s="25" t="s">
        <v>84</v>
      </c>
      <c r="G246" s="26"/>
      <c r="H246" s="27">
        <f>H245/G245-1</f>
        <v>9.1846812246241694E-2</v>
      </c>
      <c r="I246" s="27">
        <f t="shared" ref="I246:J246" si="30">I245/H245-1</f>
        <v>0</v>
      </c>
      <c r="J246" s="27">
        <f t="shared" si="30"/>
        <v>-0.33165829145728642</v>
      </c>
    </row>
    <row r="247" spans="6:10" ht="15.75" thickBot="1" x14ac:dyDescent="0.3">
      <c r="F247" s="13" t="s">
        <v>26</v>
      </c>
      <c r="G247" s="14">
        <f>+G78+G38</f>
        <v>220000</v>
      </c>
      <c r="H247" s="14">
        <f t="shared" ref="H247:J247" si="31">+H78+H38</f>
        <v>250000</v>
      </c>
      <c r="I247" s="14">
        <f t="shared" si="31"/>
        <v>250000</v>
      </c>
      <c r="J247" s="14">
        <f t="shared" si="31"/>
        <v>250000</v>
      </c>
    </row>
    <row r="248" spans="6:10" ht="15.75" thickBot="1" x14ac:dyDescent="0.3">
      <c r="F248" s="28" t="s">
        <v>85</v>
      </c>
      <c r="G248" s="15"/>
      <c r="H248" s="29">
        <f>H247/G247-1</f>
        <v>0.13636363636363646</v>
      </c>
      <c r="I248" s="29">
        <f t="shared" ref="I248:J248" si="32">I247/H247-1</f>
        <v>0</v>
      </c>
      <c r="J248" s="29">
        <f t="shared" si="32"/>
        <v>0</v>
      </c>
    </row>
    <row r="249" spans="6:10" ht="24.75" thickBot="1" x14ac:dyDescent="0.3">
      <c r="F249" s="13" t="s">
        <v>28</v>
      </c>
      <c r="G249" s="14">
        <f>+G81+G41</f>
        <v>27000</v>
      </c>
      <c r="H249" s="14">
        <f t="shared" ref="H249:J249" si="33">+H81+H41</f>
        <v>32000</v>
      </c>
      <c r="I249" s="14">
        <f t="shared" si="33"/>
        <v>32000</v>
      </c>
      <c r="J249" s="14">
        <f t="shared" si="33"/>
        <v>32000</v>
      </c>
    </row>
    <row r="250" spans="6:10" ht="24.75" thickBot="1" x14ac:dyDescent="0.3">
      <c r="F250" s="28" t="s">
        <v>86</v>
      </c>
      <c r="G250" s="15"/>
      <c r="H250" s="29">
        <f>H249/G249-1</f>
        <v>0.18518518518518512</v>
      </c>
      <c r="I250" s="29">
        <f t="shared" ref="I250:J250" si="34">I249/H249-1</f>
        <v>0</v>
      </c>
      <c r="J250" s="29">
        <f t="shared" si="34"/>
        <v>0</v>
      </c>
    </row>
    <row r="251" spans="6:10" ht="15.75" thickBot="1" x14ac:dyDescent="0.3">
      <c r="F251" s="13" t="s">
        <v>30</v>
      </c>
      <c r="G251" s="14">
        <f>G84+G44</f>
        <v>129300</v>
      </c>
      <c r="H251" s="14">
        <f t="shared" ref="H251:J251" si="35">H84+H44</f>
        <v>133000</v>
      </c>
      <c r="I251" s="14">
        <f t="shared" si="35"/>
        <v>133000</v>
      </c>
      <c r="J251" s="14">
        <f t="shared" si="35"/>
        <v>133000</v>
      </c>
    </row>
    <row r="252" spans="6:10" ht="15.75" thickBot="1" x14ac:dyDescent="0.3">
      <c r="F252" s="28" t="s">
        <v>87</v>
      </c>
      <c r="G252" s="15"/>
      <c r="H252" s="29">
        <f>H251/G251-1</f>
        <v>2.8615622583139988E-2</v>
      </c>
      <c r="I252" s="29">
        <f t="shared" ref="I252:J252" si="36">I251/H251-1</f>
        <v>0</v>
      </c>
      <c r="J252" s="29">
        <f t="shared" si="36"/>
        <v>0</v>
      </c>
    </row>
    <row r="253" spans="6:10" ht="15.75" thickBot="1" x14ac:dyDescent="0.3">
      <c r="F253" s="13" t="s">
        <v>32</v>
      </c>
      <c r="G253" s="14">
        <f>G87+G47</f>
        <v>0</v>
      </c>
      <c r="H253" s="14">
        <f t="shared" ref="H253:J253" si="37">H87+H47</f>
        <v>0</v>
      </c>
      <c r="I253" s="14">
        <f t="shared" si="37"/>
        <v>0</v>
      </c>
      <c r="J253" s="14">
        <f t="shared" si="37"/>
        <v>0</v>
      </c>
    </row>
    <row r="254" spans="6:10" ht="15.75" thickBot="1" x14ac:dyDescent="0.3">
      <c r="F254" s="28" t="s">
        <v>88</v>
      </c>
      <c r="G254" s="15"/>
      <c r="H254" s="29" t="e">
        <f>H253/G253-1</f>
        <v>#DIV/0!</v>
      </c>
      <c r="I254" s="29" t="e">
        <f t="shared" ref="I254:J254" si="38">I253/H253-1</f>
        <v>#DIV/0!</v>
      </c>
      <c r="J254" s="29" t="e">
        <f t="shared" si="38"/>
        <v>#DIV/0!</v>
      </c>
    </row>
    <row r="255" spans="6:10" ht="15.75" thickBot="1" x14ac:dyDescent="0.3">
      <c r="F255" s="13" t="s">
        <v>34</v>
      </c>
      <c r="G255" s="14">
        <f>G90+G50</f>
        <v>0</v>
      </c>
      <c r="H255" s="14">
        <f t="shared" ref="H255:J255" si="39">H90+H50</f>
        <v>0</v>
      </c>
      <c r="I255" s="14">
        <f t="shared" si="39"/>
        <v>0</v>
      </c>
      <c r="J255" s="14">
        <f t="shared" si="39"/>
        <v>0</v>
      </c>
    </row>
    <row r="256" spans="6:10" ht="15.75" thickBot="1" x14ac:dyDescent="0.3">
      <c r="F256" s="28" t="s">
        <v>89</v>
      </c>
      <c r="G256" s="15"/>
      <c r="H256" s="29" t="e">
        <f>H255/G255-1</f>
        <v>#DIV/0!</v>
      </c>
      <c r="I256" s="29" t="e">
        <f t="shared" ref="I256:J256" si="40">I255/H255-1</f>
        <v>#DIV/0!</v>
      </c>
      <c r="J256" s="29" t="e">
        <f t="shared" si="40"/>
        <v>#DIV/0!</v>
      </c>
    </row>
    <row r="257" spans="6:10" ht="15.75" thickBot="1" x14ac:dyDescent="0.3">
      <c r="F257" s="13" t="s">
        <v>36</v>
      </c>
      <c r="G257" s="14">
        <f>G93+G53+G133</f>
        <v>70000</v>
      </c>
      <c r="H257" s="14">
        <f>H93+H53+H133</f>
        <v>65000</v>
      </c>
      <c r="I257" s="14">
        <f t="shared" ref="I257:J257" si="41">I93+I53+I133</f>
        <v>65000</v>
      </c>
      <c r="J257" s="14">
        <f t="shared" si="41"/>
        <v>65000</v>
      </c>
    </row>
    <row r="258" spans="6:10" ht="15.75" thickBot="1" x14ac:dyDescent="0.3">
      <c r="F258" s="28" t="s">
        <v>90</v>
      </c>
      <c r="G258" s="15"/>
      <c r="H258" s="29">
        <f>H257/G257-1</f>
        <v>-7.1428571428571397E-2</v>
      </c>
      <c r="I258" s="29">
        <f t="shared" ref="I258:J258" si="42">I257/H257-1</f>
        <v>0</v>
      </c>
      <c r="J258" s="29">
        <f t="shared" si="42"/>
        <v>0</v>
      </c>
    </row>
    <row r="259" spans="6:10" ht="15.75" thickBot="1" x14ac:dyDescent="0.3">
      <c r="F259" s="13" t="s">
        <v>38</v>
      </c>
      <c r="G259" s="14">
        <f>G96+G56</f>
        <v>0</v>
      </c>
      <c r="H259" s="14">
        <f t="shared" ref="H259:J259" si="43">H96+H56</f>
        <v>0</v>
      </c>
      <c r="I259" s="14">
        <f t="shared" si="43"/>
        <v>0</v>
      </c>
      <c r="J259" s="14">
        <f t="shared" si="43"/>
        <v>0</v>
      </c>
    </row>
    <row r="260" spans="6:10" ht="24.75" thickBot="1" x14ac:dyDescent="0.3">
      <c r="F260" s="28" t="s">
        <v>91</v>
      </c>
      <c r="G260" s="15"/>
      <c r="H260" s="29" t="e">
        <f>H259/G259-1</f>
        <v>#DIV/0!</v>
      </c>
      <c r="I260" s="29" t="e">
        <f t="shared" ref="I260:J260" si="44">I259/H259-1</f>
        <v>#DIV/0!</v>
      </c>
      <c r="J260" s="29" t="e">
        <f t="shared" si="44"/>
        <v>#DIV/0!</v>
      </c>
    </row>
    <row r="261" spans="6:10" ht="15.75" thickBot="1" x14ac:dyDescent="0.3">
      <c r="F261" s="13" t="s">
        <v>92</v>
      </c>
      <c r="G261" s="14">
        <f>G172+G193+G216+G237</f>
        <v>0</v>
      </c>
      <c r="H261" s="14">
        <f t="shared" ref="H261:I261" si="45">H172+H193+H216+H237</f>
        <v>0</v>
      </c>
      <c r="I261" s="14">
        <f t="shared" si="45"/>
        <v>0</v>
      </c>
      <c r="J261" s="14">
        <f>J172+J193+J216+J237</f>
        <v>0</v>
      </c>
    </row>
    <row r="262" spans="6:10" ht="15.75" thickBot="1" x14ac:dyDescent="0.3">
      <c r="F262" s="28" t="s">
        <v>93</v>
      </c>
      <c r="G262" s="15"/>
      <c r="H262" s="29" t="e">
        <f>H261/G261-1</f>
        <v>#DIV/0!</v>
      </c>
      <c r="I262" s="29" t="e">
        <f t="shared" ref="I262:J262" si="46">I261/H261-1</f>
        <v>#DIV/0!</v>
      </c>
      <c r="J262" s="29" t="e">
        <f t="shared" si="46"/>
        <v>#DIV/0!</v>
      </c>
    </row>
    <row r="263" spans="6:10" ht="15.75" thickBot="1" x14ac:dyDescent="0.3">
      <c r="F263" s="13" t="s">
        <v>94</v>
      </c>
      <c r="G263" s="14">
        <f>G173+G194+G217+G238</f>
        <v>465000</v>
      </c>
      <c r="H263" s="14">
        <f t="shared" ref="H263:J263" si="47">H173+H194+H217+H238</f>
        <v>515000</v>
      </c>
      <c r="I263" s="14">
        <f t="shared" si="47"/>
        <v>515000</v>
      </c>
      <c r="J263" s="14">
        <f t="shared" si="47"/>
        <v>185000</v>
      </c>
    </row>
    <row r="264" spans="6:10" ht="15.75" thickBot="1" x14ac:dyDescent="0.3">
      <c r="F264" s="28" t="s">
        <v>95</v>
      </c>
      <c r="G264" s="15"/>
      <c r="H264" s="29">
        <f>H263/G263-1</f>
        <v>0.10752688172043001</v>
      </c>
      <c r="I264" s="29">
        <f t="shared" ref="I264:J264" si="48">I263/H263-1</f>
        <v>0</v>
      </c>
      <c r="J264" s="29">
        <f t="shared" si="48"/>
        <v>-0.64077669902912615</v>
      </c>
    </row>
    <row r="265" spans="6:10" x14ac:dyDescent="0.25">
      <c r="F265" s="970" t="s">
        <v>1536</v>
      </c>
      <c r="G265" s="973"/>
      <c r="H265" s="973"/>
      <c r="I265" s="973"/>
      <c r="J265" s="974"/>
    </row>
    <row r="266" spans="6:10" x14ac:dyDescent="0.25">
      <c r="F266" s="971"/>
      <c r="G266" s="975"/>
      <c r="H266" s="975"/>
      <c r="I266" s="975"/>
      <c r="J266" s="976"/>
    </row>
    <row r="267" spans="6:10" ht="15.75" thickBot="1" x14ac:dyDescent="0.3">
      <c r="F267" s="972"/>
      <c r="G267" s="977"/>
      <c r="H267" s="977"/>
      <c r="I267" s="977"/>
      <c r="J267" s="978"/>
    </row>
    <row r="268" spans="6:10" ht="15.75" thickBot="1" x14ac:dyDescent="0.3">
      <c r="F268" s="17" t="s">
        <v>41</v>
      </c>
      <c r="G268" s="18">
        <f>IF(G245-G244=0,0,"Error")</f>
        <v>0</v>
      </c>
      <c r="H268" s="18">
        <f t="shared" ref="H268:J268" si="49">IF(H245-H244=0,0,"Error")</f>
        <v>0</v>
      </c>
      <c r="I268" s="18">
        <f t="shared" si="49"/>
        <v>0</v>
      </c>
      <c r="J268" s="18">
        <f t="shared" si="49"/>
        <v>0</v>
      </c>
    </row>
    <row r="269" spans="6:10" ht="24.75" thickBot="1" x14ac:dyDescent="0.3">
      <c r="F269" s="30" t="s">
        <v>96</v>
      </c>
      <c r="G269" s="14">
        <v>150</v>
      </c>
      <c r="H269" s="14">
        <v>150</v>
      </c>
      <c r="I269" s="14">
        <v>150</v>
      </c>
      <c r="J269" s="14">
        <v>150</v>
      </c>
    </row>
    <row r="270" spans="6:10" ht="24.75" thickBot="1" x14ac:dyDescent="0.3">
      <c r="F270" s="30" t="s">
        <v>97</v>
      </c>
      <c r="G270" s="14">
        <v>45</v>
      </c>
      <c r="H270" s="14">
        <v>45</v>
      </c>
      <c r="I270" s="14">
        <v>45</v>
      </c>
      <c r="J270" s="14">
        <v>45</v>
      </c>
    </row>
  </sheetData>
  <mergeCells count="82">
    <mergeCell ref="F240:F242"/>
    <mergeCell ref="G240:J242"/>
    <mergeCell ref="F265:F267"/>
    <mergeCell ref="G265:J267"/>
    <mergeCell ref="G223:J223"/>
    <mergeCell ref="G224:J224"/>
    <mergeCell ref="G225:J225"/>
    <mergeCell ref="F226:F227"/>
    <mergeCell ref="F234:J234"/>
    <mergeCell ref="F235:F236"/>
    <mergeCell ref="G222:J222"/>
    <mergeCell ref="F199:J199"/>
    <mergeCell ref="F200:J200"/>
    <mergeCell ref="G201:J201"/>
    <mergeCell ref="G202:J202"/>
    <mergeCell ref="G203:J203"/>
    <mergeCell ref="G204:J204"/>
    <mergeCell ref="F205:F206"/>
    <mergeCell ref="F213:J213"/>
    <mergeCell ref="F214:F215"/>
    <mergeCell ref="F219:F221"/>
    <mergeCell ref="G219:J221"/>
    <mergeCell ref="G181:J181"/>
    <mergeCell ref="F182:F183"/>
    <mergeCell ref="F190:J190"/>
    <mergeCell ref="F191:F192"/>
    <mergeCell ref="F196:F198"/>
    <mergeCell ref="G196:J198"/>
    <mergeCell ref="G180:J180"/>
    <mergeCell ref="F150:F151"/>
    <mergeCell ref="G158:J158"/>
    <mergeCell ref="G159:J159"/>
    <mergeCell ref="G160:J160"/>
    <mergeCell ref="F161:F162"/>
    <mergeCell ref="F169:J169"/>
    <mergeCell ref="F170:F171"/>
    <mergeCell ref="F175:F177"/>
    <mergeCell ref="G175:J177"/>
    <mergeCell ref="G178:J178"/>
    <mergeCell ref="G179:J179"/>
    <mergeCell ref="G149:J149"/>
    <mergeCell ref="G106:J106"/>
    <mergeCell ref="F107:F108"/>
    <mergeCell ref="F115:J115"/>
    <mergeCell ref="F116:F117"/>
    <mergeCell ref="F140:F142"/>
    <mergeCell ref="G140:J142"/>
    <mergeCell ref="F144:J144"/>
    <mergeCell ref="F145:J145"/>
    <mergeCell ref="G146:J146"/>
    <mergeCell ref="G147:J147"/>
    <mergeCell ref="G148:J148"/>
    <mergeCell ref="G105:J105"/>
    <mergeCell ref="F60:F62"/>
    <mergeCell ref="G60:J62"/>
    <mergeCell ref="G64:J64"/>
    <mergeCell ref="G65:J65"/>
    <mergeCell ref="G66:J66"/>
    <mergeCell ref="F67:F68"/>
    <mergeCell ref="F75:J75"/>
    <mergeCell ref="F76:F77"/>
    <mergeCell ref="F100:F102"/>
    <mergeCell ref="G100:J102"/>
    <mergeCell ref="G104:J104"/>
    <mergeCell ref="F36:F37"/>
    <mergeCell ref="G12:J12"/>
    <mergeCell ref="F13:F14"/>
    <mergeCell ref="G18:J18"/>
    <mergeCell ref="F19:J19"/>
    <mergeCell ref="F22:J22"/>
    <mergeCell ref="F23:J23"/>
    <mergeCell ref="G24:J24"/>
    <mergeCell ref="G25:J25"/>
    <mergeCell ref="G26:J26"/>
    <mergeCell ref="F27:F28"/>
    <mergeCell ref="F35:J35"/>
    <mergeCell ref="F9:J11"/>
    <mergeCell ref="F2:J2"/>
    <mergeCell ref="G5:J5"/>
    <mergeCell ref="G6:J6"/>
    <mergeCell ref="G7:J7"/>
    <mergeCell ref="F8:J8"/>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495"/>
  <sheetViews>
    <sheetView topLeftCell="A457" workbookViewId="0">
      <selection activeCell="C471" sqref="C471"/>
    </sheetView>
  </sheetViews>
  <sheetFormatPr defaultRowHeight="15" x14ac:dyDescent="0.25"/>
  <cols>
    <col min="1" max="1" width="13.85546875" style="152" customWidth="1"/>
    <col min="2" max="2" width="50.42578125" style="152" customWidth="1"/>
    <col min="3" max="3" width="19.5703125" style="152" customWidth="1"/>
    <col min="4" max="4" width="22.42578125" style="152" customWidth="1"/>
    <col min="5" max="5" width="19.28515625" style="152" customWidth="1"/>
    <col min="6" max="6" width="22.85546875" style="152" customWidth="1"/>
    <col min="7" max="16384" width="9.140625" style="152"/>
  </cols>
  <sheetData>
    <row r="2" spans="2:6" ht="15.75" x14ac:dyDescent="0.25">
      <c r="B2" s="732" t="s">
        <v>0</v>
      </c>
      <c r="C2" s="87"/>
      <c r="D2" s="87"/>
      <c r="E2" s="87"/>
      <c r="F2" s="87"/>
    </row>
    <row r="4" spans="2:6" ht="15.75" thickBot="1" x14ac:dyDescent="0.3"/>
    <row r="5" spans="2:6" ht="15.75" thickBot="1" x14ac:dyDescent="0.3">
      <c r="B5" s="153" t="s">
        <v>2</v>
      </c>
      <c r="C5" s="979" t="s">
        <v>1430</v>
      </c>
      <c r="D5" s="979"/>
      <c r="E5" s="979"/>
      <c r="F5" s="979"/>
    </row>
    <row r="6" spans="2:6" ht="15.75" thickBot="1" x14ac:dyDescent="0.3">
      <c r="B6" s="153" t="s">
        <v>3</v>
      </c>
      <c r="C6" s="1048" t="s">
        <v>1387</v>
      </c>
      <c r="D6" s="981"/>
      <c r="E6" s="981"/>
      <c r="F6" s="982"/>
    </row>
    <row r="7" spans="2:6" ht="15.75" thickBot="1" x14ac:dyDescent="0.3">
      <c r="B7" s="153" t="s">
        <v>5</v>
      </c>
      <c r="C7" s="983" t="s">
        <v>6</v>
      </c>
      <c r="D7" s="984"/>
      <c r="E7" s="984"/>
      <c r="F7" s="985"/>
    </row>
    <row r="8" spans="2:6" ht="15.75" thickBot="1" x14ac:dyDescent="0.3">
      <c r="B8" s="986" t="s">
        <v>7</v>
      </c>
      <c r="C8" s="987"/>
      <c r="D8" s="987"/>
      <c r="E8" s="987"/>
      <c r="F8" s="988"/>
    </row>
    <row r="9" spans="2:6" ht="15.75" thickBot="1" x14ac:dyDescent="0.3">
      <c r="B9" s="1003" t="s">
        <v>1431</v>
      </c>
      <c r="C9" s="1004"/>
      <c r="D9" s="1004"/>
      <c r="E9" s="1004"/>
      <c r="F9" s="1005"/>
    </row>
    <row r="10" spans="2:6" ht="15.75" thickBot="1" x14ac:dyDescent="0.3">
      <c r="B10" s="1003"/>
      <c r="C10" s="1004"/>
      <c r="D10" s="1004"/>
      <c r="E10" s="1004"/>
      <c r="F10" s="1005"/>
    </row>
    <row r="11" spans="2:6" ht="87.75" customHeight="1" thickBot="1" x14ac:dyDescent="0.3">
      <c r="B11" s="1003"/>
      <c r="C11" s="1004"/>
      <c r="D11" s="1004"/>
      <c r="E11" s="1004"/>
      <c r="F11" s="1005"/>
    </row>
    <row r="12" spans="2:6" ht="51" customHeight="1" thickBot="1" x14ac:dyDescent="0.3">
      <c r="B12" s="154" t="s">
        <v>8</v>
      </c>
      <c r="C12" s="1006" t="s">
        <v>1432</v>
      </c>
      <c r="D12" s="993"/>
      <c r="E12" s="993"/>
      <c r="F12" s="994"/>
    </row>
    <row r="13" spans="2:6" x14ac:dyDescent="0.25">
      <c r="B13" s="998" t="s">
        <v>9</v>
      </c>
      <c r="C13" s="640">
        <v>2018</v>
      </c>
      <c r="D13" s="640">
        <v>2019</v>
      </c>
      <c r="E13" s="640">
        <v>2020</v>
      </c>
      <c r="F13" s="640">
        <v>2021</v>
      </c>
    </row>
    <row r="14" spans="2:6" ht="15.75" thickBot="1" x14ac:dyDescent="0.3">
      <c r="B14" s="999"/>
      <c r="C14" s="641" t="s">
        <v>10</v>
      </c>
      <c r="D14" s="641" t="s">
        <v>11</v>
      </c>
      <c r="E14" s="641" t="s">
        <v>11</v>
      </c>
      <c r="F14" s="641" t="s">
        <v>11</v>
      </c>
    </row>
    <row r="15" spans="2:6" ht="15.75" thickBot="1" x14ac:dyDescent="0.3">
      <c r="B15" s="643" t="s">
        <v>1433</v>
      </c>
      <c r="C15" s="658">
        <v>0.4</v>
      </c>
      <c r="D15" s="658">
        <v>0.5</v>
      </c>
      <c r="E15" s="658">
        <v>0.6</v>
      </c>
      <c r="F15" s="658">
        <v>0.7</v>
      </c>
    </row>
    <row r="16" spans="2:6" ht="15.75" thickBot="1" x14ac:dyDescent="0.3">
      <c r="B16" s="229" t="s">
        <v>1434</v>
      </c>
      <c r="C16" s="658">
        <v>0.4</v>
      </c>
      <c r="D16" s="658">
        <v>0.5</v>
      </c>
      <c r="E16" s="658">
        <v>0.65</v>
      </c>
      <c r="F16" s="658">
        <v>0.7</v>
      </c>
    </row>
    <row r="17" spans="2:6" ht="15.75" thickBot="1" x14ac:dyDescent="0.3">
      <c r="B17" s="229" t="s">
        <v>1435</v>
      </c>
      <c r="C17" s="658">
        <v>0.2</v>
      </c>
      <c r="D17" s="658">
        <v>0.4</v>
      </c>
      <c r="E17" s="658">
        <v>0.5</v>
      </c>
      <c r="F17" s="658">
        <v>0.6</v>
      </c>
    </row>
    <row r="18" spans="2:6" ht="15.75" thickBot="1" x14ac:dyDescent="0.3">
      <c r="B18" s="158" t="s">
        <v>12</v>
      </c>
      <c r="C18" s="1007" t="s">
        <v>1436</v>
      </c>
      <c r="D18" s="1006"/>
      <c r="E18" s="1006"/>
      <c r="F18" s="1008"/>
    </row>
    <row r="19" spans="2:6" ht="15.75" thickBot="1" x14ac:dyDescent="0.3">
      <c r="B19" s="983" t="s">
        <v>13</v>
      </c>
      <c r="C19" s="984"/>
      <c r="D19" s="984"/>
      <c r="E19" s="984"/>
      <c r="F19" s="985"/>
    </row>
    <row r="20" spans="2:6" ht="30.75" thickBot="1" x14ac:dyDescent="0.3">
      <c r="B20" s="195" t="s">
        <v>1437</v>
      </c>
      <c r="C20" s="727">
        <v>0.1</v>
      </c>
      <c r="D20" s="727">
        <v>0.3</v>
      </c>
      <c r="E20" s="727">
        <v>0.6</v>
      </c>
      <c r="F20" s="727">
        <v>0.8</v>
      </c>
    </row>
    <row r="21" spans="2:6" ht="15.75" thickBot="1" x14ac:dyDescent="0.3">
      <c r="B21" s="989" t="s">
        <v>14</v>
      </c>
      <c r="C21" s="990"/>
      <c r="D21" s="990"/>
      <c r="E21" s="990"/>
      <c r="F21" s="991"/>
    </row>
    <row r="22" spans="2:6" ht="15.75" thickBot="1" x14ac:dyDescent="0.3">
      <c r="B22" s="989" t="s">
        <v>15</v>
      </c>
      <c r="C22" s="990"/>
      <c r="D22" s="990"/>
      <c r="E22" s="990"/>
      <c r="F22" s="991"/>
    </row>
    <row r="23" spans="2:6" ht="15.75" thickBot="1" x14ac:dyDescent="0.3">
      <c r="B23" s="160" t="s">
        <v>16</v>
      </c>
      <c r="C23" s="1384" t="s">
        <v>1438</v>
      </c>
      <c r="D23" s="1317"/>
      <c r="E23" s="1317"/>
      <c r="F23" s="1318"/>
    </row>
    <row r="24" spans="2:6" ht="66" customHeight="1" thickBot="1" x14ac:dyDescent="0.3">
      <c r="B24" s="62" t="s">
        <v>17</v>
      </c>
      <c r="C24" s="1564" t="s">
        <v>1439</v>
      </c>
      <c r="D24" s="1565"/>
      <c r="E24" s="1565"/>
      <c r="F24" s="1566"/>
    </row>
    <row r="25" spans="2:6" ht="15.75" thickBot="1" x14ac:dyDescent="0.3">
      <c r="B25" s="62" t="s">
        <v>18</v>
      </c>
      <c r="C25" s="1553" t="s">
        <v>1440</v>
      </c>
      <c r="D25" s="1554"/>
      <c r="E25" s="1554"/>
      <c r="F25" s="1555"/>
    </row>
    <row r="26" spans="2:6" x14ac:dyDescent="0.25">
      <c r="B26" s="998"/>
      <c r="C26" s="63">
        <v>2018</v>
      </c>
      <c r="D26" s="63">
        <v>2019</v>
      </c>
      <c r="E26" s="63">
        <v>2020</v>
      </c>
      <c r="F26" s="63">
        <v>2021</v>
      </c>
    </row>
    <row r="27" spans="2:6" ht="15.75" thickBot="1" x14ac:dyDescent="0.3">
      <c r="B27" s="999"/>
      <c r="C27" s="64" t="s">
        <v>10</v>
      </c>
      <c r="D27" s="64" t="s">
        <v>11</v>
      </c>
      <c r="E27" s="64" t="s">
        <v>11</v>
      </c>
      <c r="F27" s="64" t="s">
        <v>11</v>
      </c>
    </row>
    <row r="28" spans="2:6" ht="15.75" thickBot="1" x14ac:dyDescent="0.3">
      <c r="B28" s="62" t="s">
        <v>19</v>
      </c>
      <c r="C28" s="686">
        <v>450</v>
      </c>
      <c r="D28" s="686">
        <v>900</v>
      </c>
      <c r="E28" s="686">
        <v>1350</v>
      </c>
      <c r="F28" s="686">
        <v>900</v>
      </c>
    </row>
    <row r="29" spans="2:6" ht="15.75" thickBot="1" x14ac:dyDescent="0.3">
      <c r="B29" s="62" t="s">
        <v>20</v>
      </c>
      <c r="C29" s="161">
        <v>13631.744000000001</v>
      </c>
      <c r="D29" s="161">
        <v>13631.744000000001</v>
      </c>
      <c r="E29" s="161">
        <v>13631.744000000001</v>
      </c>
      <c r="F29" s="161">
        <v>13631.744000000001</v>
      </c>
    </row>
    <row r="30" spans="2:6" ht="15.75" thickBot="1" x14ac:dyDescent="0.3">
      <c r="B30" s="62" t="s">
        <v>21</v>
      </c>
      <c r="C30" s="161">
        <f>C29/C28</f>
        <v>30.292764444444447</v>
      </c>
      <c r="D30" s="161">
        <f t="shared" ref="D30:F30" si="0">D29/D28</f>
        <v>15.146382222222224</v>
      </c>
      <c r="E30" s="161">
        <f t="shared" si="0"/>
        <v>10.097588148148148</v>
      </c>
      <c r="F30" s="161">
        <f t="shared" si="0"/>
        <v>15.146382222222224</v>
      </c>
    </row>
    <row r="31" spans="2:6" ht="15.75" thickBot="1" x14ac:dyDescent="0.3">
      <c r="B31" s="62" t="s">
        <v>22</v>
      </c>
      <c r="C31" s="636" t="s">
        <v>23</v>
      </c>
      <c r="D31" s="162">
        <f>D28/C28-1</f>
        <v>1</v>
      </c>
      <c r="E31" s="162">
        <f t="shared" ref="E31:F33" si="1">E28/D28-1</f>
        <v>0.5</v>
      </c>
      <c r="F31" s="162">
        <f t="shared" si="1"/>
        <v>-0.33333333333333337</v>
      </c>
    </row>
    <row r="32" spans="2:6" ht="15.75" thickBot="1" x14ac:dyDescent="0.3">
      <c r="B32" s="62" t="s">
        <v>24</v>
      </c>
      <c r="C32" s="636" t="s">
        <v>23</v>
      </c>
      <c r="D32" s="162">
        <f>D29/C29-1</f>
        <v>0</v>
      </c>
      <c r="E32" s="162">
        <f t="shared" si="1"/>
        <v>0</v>
      </c>
      <c r="F32" s="162">
        <f t="shared" si="1"/>
        <v>0</v>
      </c>
    </row>
    <row r="33" spans="2:6" ht="15.75" thickBot="1" x14ac:dyDescent="0.3">
      <c r="B33" s="62" t="s">
        <v>25</v>
      </c>
      <c r="C33" s="636" t="s">
        <v>23</v>
      </c>
      <c r="D33" s="162">
        <f>D30/C30-1</f>
        <v>-0.5</v>
      </c>
      <c r="E33" s="162">
        <f t="shared" si="1"/>
        <v>-0.33333333333333337</v>
      </c>
      <c r="F33" s="162">
        <f t="shared" si="1"/>
        <v>0.50000000000000022</v>
      </c>
    </row>
    <row r="34" spans="2:6" ht="15.75" thickBot="1" x14ac:dyDescent="0.3">
      <c r="B34" s="1000" t="s">
        <v>784</v>
      </c>
      <c r="C34" s="1001"/>
      <c r="D34" s="1001"/>
      <c r="E34" s="1001"/>
      <c r="F34" s="1002"/>
    </row>
    <row r="35" spans="2:6" x14ac:dyDescent="0.25">
      <c r="B35" s="998"/>
      <c r="C35" s="63">
        <v>2018</v>
      </c>
      <c r="D35" s="63">
        <v>2019</v>
      </c>
      <c r="E35" s="63">
        <v>2020</v>
      </c>
      <c r="F35" s="63">
        <v>2021</v>
      </c>
    </row>
    <row r="36" spans="2:6" ht="15.75" thickBot="1" x14ac:dyDescent="0.3">
      <c r="B36" s="999"/>
      <c r="C36" s="64" t="s">
        <v>10</v>
      </c>
      <c r="D36" s="64" t="s">
        <v>11</v>
      </c>
      <c r="E36" s="64" t="s">
        <v>11</v>
      </c>
      <c r="F36" s="64" t="s">
        <v>11</v>
      </c>
    </row>
    <row r="37" spans="2:6" ht="15.75" thickBot="1" x14ac:dyDescent="0.3">
      <c r="B37" s="65" t="s">
        <v>26</v>
      </c>
      <c r="C37" s="161">
        <v>7872</v>
      </c>
      <c r="D37" s="161">
        <v>7872</v>
      </c>
      <c r="E37" s="161">
        <v>7872</v>
      </c>
      <c r="F37" s="161">
        <v>7872</v>
      </c>
    </row>
    <row r="38" spans="2:6" ht="30.75" thickBot="1" x14ac:dyDescent="0.3">
      <c r="B38" s="181" t="s">
        <v>27</v>
      </c>
      <c r="C38" s="161">
        <v>0</v>
      </c>
      <c r="D38" s="161">
        <v>0</v>
      </c>
      <c r="E38" s="161">
        <v>0</v>
      </c>
      <c r="F38" s="161">
        <v>0</v>
      </c>
    </row>
    <row r="39" spans="2:6" ht="30.75" thickBot="1" x14ac:dyDescent="0.3">
      <c r="B39" s="181" t="s">
        <v>817</v>
      </c>
      <c r="C39" s="161">
        <v>0</v>
      </c>
      <c r="D39" s="161">
        <v>0</v>
      </c>
      <c r="E39" s="161">
        <v>0</v>
      </c>
      <c r="F39" s="161">
        <v>0</v>
      </c>
    </row>
    <row r="40" spans="2:6" ht="15.75" thickBot="1" x14ac:dyDescent="0.3">
      <c r="B40" s="65" t="s">
        <v>28</v>
      </c>
      <c r="C40" s="164">
        <f>1314.624+445.12</f>
        <v>1759.7440000000001</v>
      </c>
      <c r="D40" s="164">
        <f>1314.624+445.12</f>
        <v>1759.7440000000001</v>
      </c>
      <c r="E40" s="164">
        <f>1314.624+445.12</f>
        <v>1759.7440000000001</v>
      </c>
      <c r="F40" s="164">
        <f>1314.624+445.12</f>
        <v>1759.7440000000001</v>
      </c>
    </row>
    <row r="41" spans="2:6" ht="30.75" thickBot="1" x14ac:dyDescent="0.3">
      <c r="B41" s="181" t="s">
        <v>29</v>
      </c>
      <c r="C41" s="165">
        <v>0</v>
      </c>
      <c r="D41" s="165">
        <v>0</v>
      </c>
      <c r="E41" s="165">
        <v>0</v>
      </c>
      <c r="F41" s="165">
        <v>0</v>
      </c>
    </row>
    <row r="42" spans="2:6" ht="30.75" thickBot="1" x14ac:dyDescent="0.3">
      <c r="B42" s="181" t="s">
        <v>818</v>
      </c>
      <c r="C42" s="165">
        <v>0</v>
      </c>
      <c r="D42" s="165">
        <v>0</v>
      </c>
      <c r="E42" s="165">
        <v>0</v>
      </c>
      <c r="F42" s="165">
        <v>0</v>
      </c>
    </row>
    <row r="43" spans="2:6" ht="15.75" thickBot="1" x14ac:dyDescent="0.3">
      <c r="B43" s="65" t="s">
        <v>30</v>
      </c>
      <c r="C43" s="165">
        <v>4000</v>
      </c>
      <c r="D43" s="165">
        <v>4000</v>
      </c>
      <c r="E43" s="165">
        <v>4000</v>
      </c>
      <c r="F43" s="165">
        <v>4000</v>
      </c>
    </row>
    <row r="44" spans="2:6" ht="30.75" thickBot="1" x14ac:dyDescent="0.3">
      <c r="B44" s="181" t="s">
        <v>31</v>
      </c>
      <c r="C44" s="165">
        <v>0</v>
      </c>
      <c r="D44" s="165">
        <v>0</v>
      </c>
      <c r="E44" s="165">
        <v>0</v>
      </c>
      <c r="F44" s="165">
        <v>0</v>
      </c>
    </row>
    <row r="45" spans="2:6" ht="30.75" thickBot="1" x14ac:dyDescent="0.3">
      <c r="B45" s="181" t="s">
        <v>819</v>
      </c>
      <c r="C45" s="165">
        <v>0</v>
      </c>
      <c r="D45" s="165">
        <v>0</v>
      </c>
      <c r="E45" s="165">
        <v>0</v>
      </c>
      <c r="F45" s="165">
        <v>0</v>
      </c>
    </row>
    <row r="46" spans="2:6" ht="15.75" thickBot="1" x14ac:dyDescent="0.3">
      <c r="B46" s="65" t="s">
        <v>32</v>
      </c>
      <c r="C46" s="165">
        <v>0</v>
      </c>
      <c r="D46" s="165">
        <v>0</v>
      </c>
      <c r="E46" s="165">
        <v>0</v>
      </c>
      <c r="F46" s="165">
        <v>0</v>
      </c>
    </row>
    <row r="47" spans="2:6" ht="30.75" thickBot="1" x14ac:dyDescent="0.3">
      <c r="B47" s="181" t="s">
        <v>33</v>
      </c>
      <c r="C47" s="165">
        <v>0</v>
      </c>
      <c r="D47" s="165">
        <v>0</v>
      </c>
      <c r="E47" s="165">
        <v>0</v>
      </c>
      <c r="F47" s="165">
        <v>0</v>
      </c>
    </row>
    <row r="48" spans="2:6" ht="30.75" thickBot="1" x14ac:dyDescent="0.3">
      <c r="B48" s="181" t="s">
        <v>820</v>
      </c>
      <c r="C48" s="165">
        <v>0</v>
      </c>
      <c r="D48" s="165">
        <v>0</v>
      </c>
      <c r="E48" s="165">
        <v>0</v>
      </c>
      <c r="F48" s="165">
        <v>0</v>
      </c>
    </row>
    <row r="49" spans="2:6" ht="15.75" thickBot="1" x14ac:dyDescent="0.3">
      <c r="B49" s="65" t="s">
        <v>34</v>
      </c>
      <c r="C49" s="165">
        <v>0</v>
      </c>
      <c r="D49" s="165">
        <v>0</v>
      </c>
      <c r="E49" s="165">
        <v>0</v>
      </c>
      <c r="F49" s="165">
        <v>0</v>
      </c>
    </row>
    <row r="50" spans="2:6" ht="30.75" thickBot="1" x14ac:dyDescent="0.3">
      <c r="B50" s="181" t="s">
        <v>35</v>
      </c>
      <c r="C50" s="165">
        <v>0</v>
      </c>
      <c r="D50" s="165">
        <v>0</v>
      </c>
      <c r="E50" s="165">
        <v>0</v>
      </c>
      <c r="F50" s="165">
        <v>0</v>
      </c>
    </row>
    <row r="51" spans="2:6" ht="30.75" thickBot="1" x14ac:dyDescent="0.3">
      <c r="B51" s="181" t="s">
        <v>821</v>
      </c>
      <c r="C51" s="165">
        <v>0</v>
      </c>
      <c r="D51" s="165">
        <v>0</v>
      </c>
      <c r="E51" s="165">
        <v>0</v>
      </c>
      <c r="F51" s="165">
        <v>0</v>
      </c>
    </row>
    <row r="52" spans="2:6" ht="15.75" thickBot="1" x14ac:dyDescent="0.3">
      <c r="B52" s="65" t="s">
        <v>36</v>
      </c>
      <c r="C52" s="165">
        <v>0</v>
      </c>
      <c r="D52" s="165">
        <v>0</v>
      </c>
      <c r="E52" s="165">
        <v>0</v>
      </c>
      <c r="F52" s="165">
        <v>0</v>
      </c>
    </row>
    <row r="53" spans="2:6" ht="30.75" thickBot="1" x14ac:dyDescent="0.3">
      <c r="B53" s="181" t="s">
        <v>37</v>
      </c>
      <c r="C53" s="165">
        <v>0</v>
      </c>
      <c r="D53" s="165">
        <v>0</v>
      </c>
      <c r="E53" s="165">
        <v>0</v>
      </c>
      <c r="F53" s="165">
        <v>0</v>
      </c>
    </row>
    <row r="54" spans="2:6" ht="30.75" thickBot="1" x14ac:dyDescent="0.3">
      <c r="B54" s="181" t="s">
        <v>822</v>
      </c>
      <c r="C54" s="165">
        <v>0</v>
      </c>
      <c r="D54" s="165">
        <v>0</v>
      </c>
      <c r="E54" s="165">
        <v>0</v>
      </c>
      <c r="F54" s="165">
        <v>0</v>
      </c>
    </row>
    <row r="55" spans="2:6" ht="15.75" thickBot="1" x14ac:dyDescent="0.3">
      <c r="B55" s="65" t="s">
        <v>38</v>
      </c>
      <c r="C55" s="165">
        <v>0</v>
      </c>
      <c r="D55" s="165">
        <v>0</v>
      </c>
      <c r="E55" s="165">
        <v>0</v>
      </c>
      <c r="F55" s="165">
        <v>0</v>
      </c>
    </row>
    <row r="56" spans="2:6" ht="30.75" thickBot="1" x14ac:dyDescent="0.3">
      <c r="B56" s="181" t="s">
        <v>39</v>
      </c>
      <c r="C56" s="165">
        <v>0</v>
      </c>
      <c r="D56" s="165">
        <v>0</v>
      </c>
      <c r="E56" s="165">
        <v>0</v>
      </c>
      <c r="F56" s="165">
        <v>0</v>
      </c>
    </row>
    <row r="57" spans="2:6" ht="30.75" thickBot="1" x14ac:dyDescent="0.3">
      <c r="B57" s="181" t="s">
        <v>823</v>
      </c>
      <c r="C57" s="165">
        <v>0</v>
      </c>
      <c r="D57" s="165">
        <v>0</v>
      </c>
      <c r="E57" s="165">
        <v>0</v>
      </c>
      <c r="F57" s="165">
        <v>0</v>
      </c>
    </row>
    <row r="58" spans="2:6" ht="15.75" thickBot="1" x14ac:dyDescent="0.3">
      <c r="B58" s="66" t="s">
        <v>40</v>
      </c>
      <c r="C58" s="165">
        <f>C55+C52+C49+C46+C43+C40+C37</f>
        <v>13631.744000000001</v>
      </c>
      <c r="D58" s="165">
        <f t="shared" ref="D58:F58" si="2">D55+D52+D49+D46+D43+D40+D37</f>
        <v>13631.744000000001</v>
      </c>
      <c r="E58" s="165">
        <f t="shared" si="2"/>
        <v>13631.744000000001</v>
      </c>
      <c r="F58" s="165">
        <f t="shared" si="2"/>
        <v>13631.744000000001</v>
      </c>
    </row>
    <row r="59" spans="2:6" x14ac:dyDescent="0.25">
      <c r="B59" s="1015" t="s">
        <v>785</v>
      </c>
      <c r="C59" s="1036"/>
      <c r="D59" s="1037"/>
      <c r="E59" s="1037"/>
      <c r="F59" s="1038"/>
    </row>
    <row r="60" spans="2:6" x14ac:dyDescent="0.25">
      <c r="B60" s="1016"/>
      <c r="C60" s="1039"/>
      <c r="D60" s="1040"/>
      <c r="E60" s="1040"/>
      <c r="F60" s="1041"/>
    </row>
    <row r="61" spans="2:6" ht="15.75" thickBot="1" x14ac:dyDescent="0.3">
      <c r="B61" s="1017"/>
      <c r="C61" s="1042"/>
      <c r="D61" s="1043"/>
      <c r="E61" s="1043"/>
      <c r="F61" s="1044"/>
    </row>
    <row r="62" spans="2:6" ht="15.75" thickBot="1" x14ac:dyDescent="0.3">
      <c r="B62" s="166" t="s">
        <v>41</v>
      </c>
      <c r="C62" s="167">
        <f>IF(C58-C29=0,0,"Error")</f>
        <v>0</v>
      </c>
      <c r="D62" s="167">
        <f>IF(D58-D29=0,0,"Error")</f>
        <v>0</v>
      </c>
      <c r="E62" s="167">
        <f>IF(E58-E29=0,0,"Error")</f>
        <v>0</v>
      </c>
      <c r="F62" s="167">
        <f>IF(F58-F29=0,0,"Error")</f>
        <v>0</v>
      </c>
    </row>
    <row r="63" spans="2:6" ht="15.75" thickBot="1" x14ac:dyDescent="0.3">
      <c r="B63" s="989" t="s">
        <v>55</v>
      </c>
      <c r="C63" s="990"/>
      <c r="D63" s="990"/>
      <c r="E63" s="990"/>
      <c r="F63" s="991"/>
    </row>
    <row r="64" spans="2:6" ht="15.75" thickBot="1" x14ac:dyDescent="0.3">
      <c r="B64" s="989" t="s">
        <v>56</v>
      </c>
      <c r="C64" s="990"/>
      <c r="D64" s="990"/>
      <c r="E64" s="990"/>
      <c r="F64" s="991"/>
    </row>
    <row r="65" spans="2:6" ht="15.75" thickBot="1" x14ac:dyDescent="0.3">
      <c r="B65" s="67" t="s">
        <v>79</v>
      </c>
      <c r="C65" s="1009" t="s">
        <v>130</v>
      </c>
      <c r="D65" s="1010"/>
      <c r="E65" s="1010"/>
      <c r="F65" s="1011"/>
    </row>
    <row r="66" spans="2:6" ht="15.75" thickBot="1" x14ac:dyDescent="0.3">
      <c r="B66" s="160" t="s">
        <v>16</v>
      </c>
      <c r="C66" s="992" t="s">
        <v>106</v>
      </c>
      <c r="D66" s="993"/>
      <c r="E66" s="993"/>
      <c r="F66" s="994"/>
    </row>
    <row r="67" spans="2:6" ht="15.75" thickBot="1" x14ac:dyDescent="0.3">
      <c r="B67" s="62" t="s">
        <v>17</v>
      </c>
      <c r="C67" s="983" t="s">
        <v>106</v>
      </c>
      <c r="D67" s="984"/>
      <c r="E67" s="984"/>
      <c r="F67" s="985"/>
    </row>
    <row r="68" spans="2:6" ht="15.75" thickBot="1" x14ac:dyDescent="0.3">
      <c r="B68" s="62" t="s">
        <v>18</v>
      </c>
      <c r="C68" s="995" t="s">
        <v>106</v>
      </c>
      <c r="D68" s="996"/>
      <c r="E68" s="996"/>
      <c r="F68" s="997"/>
    </row>
    <row r="69" spans="2:6" x14ac:dyDescent="0.25">
      <c r="B69" s="998"/>
      <c r="C69" s="63">
        <v>2018</v>
      </c>
      <c r="D69" s="63">
        <v>2019</v>
      </c>
      <c r="E69" s="63">
        <v>2020</v>
      </c>
      <c r="F69" s="63">
        <v>2021</v>
      </c>
    </row>
    <row r="70" spans="2:6" ht="15.75" thickBot="1" x14ac:dyDescent="0.3">
      <c r="B70" s="999"/>
      <c r="C70" s="64" t="s">
        <v>10</v>
      </c>
      <c r="D70" s="64" t="s">
        <v>11</v>
      </c>
      <c r="E70" s="64" t="s">
        <v>11</v>
      </c>
      <c r="F70" s="64" t="s">
        <v>11</v>
      </c>
    </row>
    <row r="71" spans="2:6" ht="15.75" thickBot="1" x14ac:dyDescent="0.3">
      <c r="B71" s="62" t="s">
        <v>19</v>
      </c>
      <c r="C71" s="161"/>
      <c r="D71" s="161"/>
      <c r="E71" s="161"/>
      <c r="F71" s="161"/>
    </row>
    <row r="72" spans="2:6" ht="15.75" thickBot="1" x14ac:dyDescent="0.3">
      <c r="B72" s="62" t="s">
        <v>20</v>
      </c>
      <c r="C72" s="161"/>
      <c r="D72" s="161"/>
      <c r="E72" s="161"/>
      <c r="F72" s="161"/>
    </row>
    <row r="73" spans="2:6" ht="15.75" thickBot="1" x14ac:dyDescent="0.3">
      <c r="B73" s="62" t="s">
        <v>21</v>
      </c>
      <c r="C73" s="161" t="e">
        <f>C72/C71</f>
        <v>#DIV/0!</v>
      </c>
      <c r="D73" s="161" t="e">
        <f t="shared" ref="D73:F73" si="3">D72/D71</f>
        <v>#DIV/0!</v>
      </c>
      <c r="E73" s="161" t="e">
        <f t="shared" si="3"/>
        <v>#DIV/0!</v>
      </c>
      <c r="F73" s="161" t="e">
        <f t="shared" si="3"/>
        <v>#DIV/0!</v>
      </c>
    </row>
    <row r="74" spans="2:6" ht="15.75" thickBot="1" x14ac:dyDescent="0.3">
      <c r="B74" s="62" t="s">
        <v>22</v>
      </c>
      <c r="C74" s="636" t="s">
        <v>23</v>
      </c>
      <c r="D74" s="162" t="e">
        <f>D71/C71-1</f>
        <v>#DIV/0!</v>
      </c>
      <c r="E74" s="162" t="e">
        <f t="shared" ref="E74:F76" si="4">E71/D71-1</f>
        <v>#DIV/0!</v>
      </c>
      <c r="F74" s="162" t="e">
        <f t="shared" si="4"/>
        <v>#DIV/0!</v>
      </c>
    </row>
    <row r="75" spans="2:6" ht="15.75" thickBot="1" x14ac:dyDescent="0.3">
      <c r="B75" s="62" t="s">
        <v>24</v>
      </c>
      <c r="C75" s="636" t="s">
        <v>23</v>
      </c>
      <c r="D75" s="162" t="e">
        <f>D72/C72-1</f>
        <v>#DIV/0!</v>
      </c>
      <c r="E75" s="162" t="e">
        <f t="shared" si="4"/>
        <v>#DIV/0!</v>
      </c>
      <c r="F75" s="162" t="e">
        <f t="shared" si="4"/>
        <v>#DIV/0!</v>
      </c>
    </row>
    <row r="76" spans="2:6" ht="15.75" thickBot="1" x14ac:dyDescent="0.3">
      <c r="B76" s="62" t="s">
        <v>25</v>
      </c>
      <c r="C76" s="636" t="s">
        <v>23</v>
      </c>
      <c r="D76" s="162" t="e">
        <f>D73/C73-1</f>
        <v>#DIV/0!</v>
      </c>
      <c r="E76" s="162" t="e">
        <f t="shared" si="4"/>
        <v>#DIV/0!</v>
      </c>
      <c r="F76" s="162" t="e">
        <f t="shared" si="4"/>
        <v>#DIV/0!</v>
      </c>
    </row>
    <row r="77" spans="2:6" ht="15.75" thickBot="1" x14ac:dyDescent="0.3">
      <c r="B77" s="1000" t="s">
        <v>784</v>
      </c>
      <c r="C77" s="1001"/>
      <c r="D77" s="1001"/>
      <c r="E77" s="1001"/>
      <c r="F77" s="1002"/>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5" t="s">
        <v>58</v>
      </c>
      <c r="C80" s="164"/>
      <c r="D80" s="164"/>
      <c r="E80" s="164"/>
      <c r="F80" s="164"/>
    </row>
    <row r="81" spans="2:6" ht="15.75" thickBot="1" x14ac:dyDescent="0.3">
      <c r="B81" s="65" t="s">
        <v>59</v>
      </c>
      <c r="C81" s="165"/>
      <c r="D81" s="164"/>
      <c r="E81" s="164"/>
      <c r="F81" s="164"/>
    </row>
    <row r="82" spans="2:6" ht="15.75" thickBot="1" x14ac:dyDescent="0.3">
      <c r="B82" s="66" t="s">
        <v>40</v>
      </c>
      <c r="C82" s="165">
        <f>C81+C80</f>
        <v>0</v>
      </c>
      <c r="D82" s="165">
        <f t="shared" ref="D82:F82" si="5">D81+D80</f>
        <v>0</v>
      </c>
      <c r="E82" s="165">
        <f t="shared" si="5"/>
        <v>0</v>
      </c>
      <c r="F82" s="165">
        <f t="shared" si="5"/>
        <v>0</v>
      </c>
    </row>
    <row r="83" spans="2:6" x14ac:dyDescent="0.25">
      <c r="B83" s="1015" t="s">
        <v>60</v>
      </c>
      <c r="C83" s="1036"/>
      <c r="D83" s="1037"/>
      <c r="E83" s="1037"/>
      <c r="F83" s="1038"/>
    </row>
    <row r="84" spans="2:6" x14ac:dyDescent="0.25">
      <c r="B84" s="1016"/>
      <c r="C84" s="1039"/>
      <c r="D84" s="1040"/>
      <c r="E84" s="1040"/>
      <c r="F84" s="1041"/>
    </row>
    <row r="85" spans="2:6" ht="15.75" thickBot="1" x14ac:dyDescent="0.3">
      <c r="B85" s="1017"/>
      <c r="C85" s="1042"/>
      <c r="D85" s="1043"/>
      <c r="E85" s="1043"/>
      <c r="F85" s="1044"/>
    </row>
    <row r="86" spans="2:6" ht="15.75" thickBot="1" x14ac:dyDescent="0.3">
      <c r="B86" s="67" t="s">
        <v>61</v>
      </c>
      <c r="C86" s="1009" t="s">
        <v>130</v>
      </c>
      <c r="D86" s="1010"/>
      <c r="E86" s="1010"/>
      <c r="F86" s="1011"/>
    </row>
    <row r="87" spans="2:6" ht="15.75" thickBot="1" x14ac:dyDescent="0.3">
      <c r="B87" s="160" t="s">
        <v>129</v>
      </c>
      <c r="C87" s="992" t="s">
        <v>106</v>
      </c>
      <c r="D87" s="993"/>
      <c r="E87" s="993"/>
      <c r="F87" s="994"/>
    </row>
    <row r="88" spans="2:6" ht="15.75" thickBot="1" x14ac:dyDescent="0.3">
      <c r="B88" s="62" t="s">
        <v>17</v>
      </c>
      <c r="C88" s="983" t="s">
        <v>106</v>
      </c>
      <c r="D88" s="984"/>
      <c r="E88" s="984"/>
      <c r="F88" s="985"/>
    </row>
    <row r="89" spans="2:6" ht="15.75" thickBot="1" x14ac:dyDescent="0.3">
      <c r="B89" s="62" t="s">
        <v>18</v>
      </c>
      <c r="C89" s="995" t="s">
        <v>106</v>
      </c>
      <c r="D89" s="996"/>
      <c r="E89" s="996"/>
      <c r="F89" s="997"/>
    </row>
    <row r="90" spans="2:6" x14ac:dyDescent="0.25">
      <c r="B90" s="998"/>
      <c r="C90" s="63">
        <v>2018</v>
      </c>
      <c r="D90" s="63">
        <v>2019</v>
      </c>
      <c r="E90" s="63">
        <v>2020</v>
      </c>
      <c r="F90" s="63">
        <v>2021</v>
      </c>
    </row>
    <row r="91" spans="2:6" ht="15.75" thickBot="1" x14ac:dyDescent="0.3">
      <c r="B91" s="999"/>
      <c r="C91" s="64" t="s">
        <v>10</v>
      </c>
      <c r="D91" s="64" t="s">
        <v>11</v>
      </c>
      <c r="E91" s="64" t="s">
        <v>11</v>
      </c>
      <c r="F91" s="64" t="s">
        <v>11</v>
      </c>
    </row>
    <row r="92" spans="2:6" ht="15.75" thickBot="1" x14ac:dyDescent="0.3">
      <c r="B92" s="62" t="s">
        <v>19</v>
      </c>
      <c r="C92" s="161"/>
      <c r="D92" s="161"/>
      <c r="E92" s="161"/>
      <c r="F92" s="161"/>
    </row>
    <row r="93" spans="2:6" ht="15.75" thickBot="1" x14ac:dyDescent="0.3">
      <c r="B93" s="62" t="s">
        <v>20</v>
      </c>
      <c r="C93" s="161"/>
      <c r="D93" s="161"/>
      <c r="E93" s="161"/>
      <c r="F93" s="161"/>
    </row>
    <row r="94" spans="2:6" ht="15.75" thickBot="1" x14ac:dyDescent="0.3">
      <c r="B94" s="62" t="s">
        <v>21</v>
      </c>
      <c r="C94" s="161" t="e">
        <f>C93/C92</f>
        <v>#DIV/0!</v>
      </c>
      <c r="D94" s="161" t="e">
        <f t="shared" ref="D94:F94" si="6">D93/D92</f>
        <v>#DIV/0!</v>
      </c>
      <c r="E94" s="161" t="e">
        <f t="shared" si="6"/>
        <v>#DIV/0!</v>
      </c>
      <c r="F94" s="161" t="e">
        <f t="shared" si="6"/>
        <v>#DIV/0!</v>
      </c>
    </row>
    <row r="95" spans="2:6" ht="15.75" thickBot="1" x14ac:dyDescent="0.3">
      <c r="B95" s="62" t="s">
        <v>22</v>
      </c>
      <c r="C95" s="636" t="s">
        <v>23</v>
      </c>
      <c r="D95" s="162" t="e">
        <f>D92/C92-1</f>
        <v>#DIV/0!</v>
      </c>
      <c r="E95" s="162" t="e">
        <f t="shared" ref="E95:F97" si="7">E92/D92-1</f>
        <v>#DIV/0!</v>
      </c>
      <c r="F95" s="162" t="e">
        <f t="shared" si="7"/>
        <v>#DIV/0!</v>
      </c>
    </row>
    <row r="96" spans="2:6" ht="15.75" thickBot="1" x14ac:dyDescent="0.3">
      <c r="B96" s="62" t="s">
        <v>24</v>
      </c>
      <c r="C96" s="636" t="s">
        <v>23</v>
      </c>
      <c r="D96" s="162" t="e">
        <f>D93/C93-1</f>
        <v>#DIV/0!</v>
      </c>
      <c r="E96" s="162" t="e">
        <f t="shared" si="7"/>
        <v>#DIV/0!</v>
      </c>
      <c r="F96" s="162" t="e">
        <f t="shared" si="7"/>
        <v>#DIV/0!</v>
      </c>
    </row>
    <row r="97" spans="2:6" ht="15.75" thickBot="1" x14ac:dyDescent="0.3">
      <c r="B97" s="62" t="s">
        <v>25</v>
      </c>
      <c r="C97" s="636" t="s">
        <v>23</v>
      </c>
      <c r="D97" s="162" t="e">
        <f>D94/C94-1</f>
        <v>#DIV/0!</v>
      </c>
      <c r="E97" s="162" t="e">
        <f t="shared" si="7"/>
        <v>#DIV/0!</v>
      </c>
      <c r="F97" s="162" t="e">
        <f t="shared" si="7"/>
        <v>#DIV/0!</v>
      </c>
    </row>
    <row r="98" spans="2:6" ht="15.75" thickBot="1" x14ac:dyDescent="0.3">
      <c r="B98" s="1000" t="s">
        <v>793</v>
      </c>
      <c r="C98" s="1001"/>
      <c r="D98" s="1001"/>
      <c r="E98" s="1001"/>
      <c r="F98" s="1002"/>
    </row>
    <row r="99" spans="2:6" x14ac:dyDescent="0.25">
      <c r="B99" s="998"/>
      <c r="C99" s="63">
        <v>2018</v>
      </c>
      <c r="D99" s="63">
        <v>2019</v>
      </c>
      <c r="E99" s="63">
        <v>2020</v>
      </c>
      <c r="F99" s="63">
        <v>2021</v>
      </c>
    </row>
    <row r="100" spans="2:6" ht="15.75" thickBot="1" x14ac:dyDescent="0.3">
      <c r="B100" s="999"/>
      <c r="C100" s="64" t="s">
        <v>10</v>
      </c>
      <c r="D100" s="64" t="s">
        <v>11</v>
      </c>
      <c r="E100" s="64" t="s">
        <v>11</v>
      </c>
      <c r="F100" s="64" t="s">
        <v>11</v>
      </c>
    </row>
    <row r="101" spans="2:6" ht="15.75" thickBot="1" x14ac:dyDescent="0.3">
      <c r="B101" s="65" t="s">
        <v>58</v>
      </c>
      <c r="C101" s="164"/>
      <c r="D101" s="164"/>
      <c r="E101" s="164"/>
      <c r="F101" s="164"/>
    </row>
    <row r="102" spans="2:6" ht="15.75" thickBot="1" x14ac:dyDescent="0.3">
      <c r="B102" s="65" t="s">
        <v>59</v>
      </c>
      <c r="C102" s="165"/>
      <c r="D102" s="164"/>
      <c r="E102" s="164"/>
      <c r="F102" s="164"/>
    </row>
    <row r="103" spans="2:6" ht="15.75" thickBot="1" x14ac:dyDescent="0.3">
      <c r="B103" s="66" t="s">
        <v>74</v>
      </c>
      <c r="C103" s="165">
        <f>C102+C101</f>
        <v>0</v>
      </c>
      <c r="D103" s="165">
        <f t="shared" ref="D103:F103" si="8">D102+D101</f>
        <v>0</v>
      </c>
      <c r="E103" s="165">
        <f t="shared" si="8"/>
        <v>0</v>
      </c>
      <c r="F103" s="165">
        <f t="shared" si="8"/>
        <v>0</v>
      </c>
    </row>
    <row r="104" spans="2:6" x14ac:dyDescent="0.25">
      <c r="B104" s="1015" t="s">
        <v>62</v>
      </c>
      <c r="C104" s="1036"/>
      <c r="D104" s="1037"/>
      <c r="E104" s="1037"/>
      <c r="F104" s="1038"/>
    </row>
    <row r="105" spans="2:6" x14ac:dyDescent="0.25">
      <c r="B105" s="1016"/>
      <c r="C105" s="1039"/>
      <c r="D105" s="1040"/>
      <c r="E105" s="1040"/>
      <c r="F105" s="1041"/>
    </row>
    <row r="106" spans="2:6" ht="15.75" thickBot="1" x14ac:dyDescent="0.3">
      <c r="B106" s="1017"/>
      <c r="C106" s="1042"/>
      <c r="D106" s="1043"/>
      <c r="E106" s="1043"/>
      <c r="F106" s="1044"/>
    </row>
    <row r="107" spans="2:6" ht="15.75" thickBot="1" x14ac:dyDescent="0.3">
      <c r="B107" s="989" t="s">
        <v>63</v>
      </c>
      <c r="C107" s="990"/>
      <c r="D107" s="990"/>
      <c r="E107" s="990"/>
      <c r="F107" s="991"/>
    </row>
    <row r="108" spans="2:6" ht="15.75" thickBot="1" x14ac:dyDescent="0.3">
      <c r="B108" s="989" t="s">
        <v>64</v>
      </c>
      <c r="C108" s="990"/>
      <c r="D108" s="990"/>
      <c r="E108" s="990"/>
      <c r="F108" s="991"/>
    </row>
    <row r="109" spans="2:6" ht="15.75" thickBot="1" x14ac:dyDescent="0.3">
      <c r="B109" s="67" t="s">
        <v>1441</v>
      </c>
      <c r="C109" s="1009" t="s">
        <v>1438</v>
      </c>
      <c r="D109" s="1010"/>
      <c r="E109" s="1010"/>
      <c r="F109" s="1011"/>
    </row>
    <row r="110" spans="2:6" ht="49.5" customHeight="1" thickBot="1" x14ac:dyDescent="0.3">
      <c r="B110" s="160" t="s">
        <v>16</v>
      </c>
      <c r="C110" s="1007" t="s">
        <v>1442</v>
      </c>
      <c r="D110" s="1006"/>
      <c r="E110" s="1006"/>
      <c r="F110" s="1008"/>
    </row>
    <row r="111" spans="2:6" ht="15.75" thickBot="1" x14ac:dyDescent="0.3">
      <c r="B111" s="62" t="s">
        <v>17</v>
      </c>
      <c r="C111" s="1069" t="s">
        <v>1443</v>
      </c>
      <c r="D111" s="1070"/>
      <c r="E111" s="1070"/>
      <c r="F111" s="1071"/>
    </row>
    <row r="112" spans="2:6" ht="15.75" thickBot="1" x14ac:dyDescent="0.3">
      <c r="B112" s="62" t="s">
        <v>18</v>
      </c>
      <c r="C112" s="1235" t="s">
        <v>151</v>
      </c>
      <c r="D112" s="1236"/>
      <c r="E112" s="1236"/>
      <c r="F112" s="1237"/>
    </row>
    <row r="113" spans="2:6" x14ac:dyDescent="0.25">
      <c r="B113" s="998"/>
      <c r="C113" s="63">
        <v>2018</v>
      </c>
      <c r="D113" s="63">
        <v>2019</v>
      </c>
      <c r="E113" s="63">
        <v>2020</v>
      </c>
      <c r="F113" s="63">
        <v>2021</v>
      </c>
    </row>
    <row r="114" spans="2:6" ht="15.75" thickBot="1" x14ac:dyDescent="0.3">
      <c r="B114" s="999"/>
      <c r="C114" s="64" t="s">
        <v>10</v>
      </c>
      <c r="D114" s="64" t="s">
        <v>11</v>
      </c>
      <c r="E114" s="64" t="s">
        <v>11</v>
      </c>
      <c r="F114" s="64" t="s">
        <v>11</v>
      </c>
    </row>
    <row r="115" spans="2:6" ht="15.75" thickBot="1" x14ac:dyDescent="0.3">
      <c r="B115" s="62" t="s">
        <v>19</v>
      </c>
      <c r="C115" s="161">
        <v>1</v>
      </c>
      <c r="D115" s="161">
        <v>1</v>
      </c>
      <c r="E115" s="161">
        <v>1</v>
      </c>
      <c r="F115" s="161">
        <v>1</v>
      </c>
    </row>
    <row r="116" spans="2:6" ht="15.75" thickBot="1" x14ac:dyDescent="0.3">
      <c r="B116" s="62" t="s">
        <v>20</v>
      </c>
      <c r="C116" s="161">
        <v>31000</v>
      </c>
      <c r="D116" s="161">
        <v>55000</v>
      </c>
      <c r="E116" s="161">
        <v>50000</v>
      </c>
      <c r="F116" s="161">
        <v>45000</v>
      </c>
    </row>
    <row r="117" spans="2:6" ht="15.75" thickBot="1" x14ac:dyDescent="0.3">
      <c r="B117" s="62" t="s">
        <v>21</v>
      </c>
      <c r="C117" s="161">
        <v>31000</v>
      </c>
      <c r="D117" s="161">
        <f t="shared" ref="D117:F117" si="9">D116/D115</f>
        <v>55000</v>
      </c>
      <c r="E117" s="161">
        <f t="shared" si="9"/>
        <v>50000</v>
      </c>
      <c r="F117" s="161">
        <f t="shared" si="9"/>
        <v>45000</v>
      </c>
    </row>
    <row r="118" spans="2:6" ht="15.75" thickBot="1" x14ac:dyDescent="0.3">
      <c r="B118" s="62" t="s">
        <v>22</v>
      </c>
      <c r="C118" s="636" t="s">
        <v>23</v>
      </c>
      <c r="D118" s="162">
        <f>D115/C115-1</f>
        <v>0</v>
      </c>
      <c r="E118" s="162">
        <f t="shared" ref="E118:F120" si="10">E115/D115-1</f>
        <v>0</v>
      </c>
      <c r="F118" s="162">
        <f t="shared" si="10"/>
        <v>0</v>
      </c>
    </row>
    <row r="119" spans="2:6" ht="15.75" thickBot="1" x14ac:dyDescent="0.3">
      <c r="B119" s="62" t="s">
        <v>24</v>
      </c>
      <c r="C119" s="636" t="s">
        <v>23</v>
      </c>
      <c r="D119" s="162">
        <f>D116/C116-1</f>
        <v>0.77419354838709675</v>
      </c>
      <c r="E119" s="162">
        <f t="shared" si="10"/>
        <v>-9.0909090909090939E-2</v>
      </c>
      <c r="F119" s="162">
        <f t="shared" si="10"/>
        <v>-9.9999999999999978E-2</v>
      </c>
    </row>
    <row r="120" spans="2:6" ht="15.75" thickBot="1" x14ac:dyDescent="0.3">
      <c r="B120" s="62" t="s">
        <v>25</v>
      </c>
      <c r="C120" s="636" t="s">
        <v>23</v>
      </c>
      <c r="D120" s="162">
        <f>D117/C117-1</f>
        <v>0.77419354838709675</v>
      </c>
      <c r="E120" s="162">
        <f t="shared" si="10"/>
        <v>-9.0909090909090939E-2</v>
      </c>
      <c r="F120" s="162">
        <f t="shared" si="10"/>
        <v>-9.9999999999999978E-2</v>
      </c>
    </row>
    <row r="121" spans="2:6" ht="15.75" thickBot="1" x14ac:dyDescent="0.3">
      <c r="B121" s="1000" t="s">
        <v>784</v>
      </c>
      <c r="C121" s="1001"/>
      <c r="D121" s="1001"/>
      <c r="E121" s="1001"/>
      <c r="F121" s="1002"/>
    </row>
    <row r="122" spans="2:6" x14ac:dyDescent="0.25">
      <c r="B122" s="998"/>
      <c r="C122" s="63">
        <v>2018</v>
      </c>
      <c r="D122" s="63">
        <v>2019</v>
      </c>
      <c r="E122" s="63">
        <v>2020</v>
      </c>
      <c r="F122" s="63">
        <v>2021</v>
      </c>
    </row>
    <row r="123" spans="2:6" ht="15.75" thickBot="1" x14ac:dyDescent="0.3">
      <c r="B123" s="999"/>
      <c r="C123" s="64" t="s">
        <v>10</v>
      </c>
      <c r="D123" s="64" t="s">
        <v>11</v>
      </c>
      <c r="E123" s="64" t="s">
        <v>11</v>
      </c>
      <c r="F123" s="64" t="s">
        <v>11</v>
      </c>
    </row>
    <row r="124" spans="2:6" ht="15.75" thickBot="1" x14ac:dyDescent="0.3">
      <c r="B124" s="65" t="s">
        <v>58</v>
      </c>
      <c r="C124" s="164"/>
      <c r="D124" s="164"/>
      <c r="E124" s="164"/>
      <c r="F124" s="164"/>
    </row>
    <row r="125" spans="2:6" ht="15.75" thickBot="1" x14ac:dyDescent="0.3">
      <c r="B125" s="65" t="s">
        <v>59</v>
      </c>
      <c r="C125" s="165">
        <v>31000</v>
      </c>
      <c r="D125" s="164">
        <v>55000</v>
      </c>
      <c r="E125" s="164">
        <v>50000</v>
      </c>
      <c r="F125" s="164">
        <v>45000</v>
      </c>
    </row>
    <row r="126" spans="2:6" ht="15.75" thickBot="1" x14ac:dyDescent="0.3">
      <c r="B126" s="66" t="s">
        <v>40</v>
      </c>
      <c r="C126" s="165">
        <f>C125+C124</f>
        <v>31000</v>
      </c>
      <c r="D126" s="165">
        <f t="shared" ref="D126:F126" si="11">D125+D124</f>
        <v>55000</v>
      </c>
      <c r="E126" s="165">
        <f t="shared" si="11"/>
        <v>50000</v>
      </c>
      <c r="F126" s="165">
        <f t="shared" si="11"/>
        <v>45000</v>
      </c>
    </row>
    <row r="127" spans="2:6" x14ac:dyDescent="0.25">
      <c r="B127" s="1015" t="s">
        <v>60</v>
      </c>
      <c r="C127" s="1036"/>
      <c r="D127" s="1037"/>
      <c r="E127" s="1037"/>
      <c r="F127" s="1038"/>
    </row>
    <row r="128" spans="2:6" x14ac:dyDescent="0.25">
      <c r="B128" s="1016"/>
      <c r="C128" s="1039"/>
      <c r="D128" s="1040"/>
      <c r="E128" s="1040"/>
      <c r="F128" s="1041"/>
    </row>
    <row r="129" spans="2:6" ht="15.75" thickBot="1" x14ac:dyDescent="0.3">
      <c r="B129" s="1017"/>
      <c r="C129" s="1042"/>
      <c r="D129" s="1043"/>
      <c r="E129" s="1043"/>
      <c r="F129" s="1044"/>
    </row>
    <row r="130" spans="2:6" ht="47.25" customHeight="1" thickBot="1" x14ac:dyDescent="0.3">
      <c r="B130" s="158" t="s">
        <v>67</v>
      </c>
      <c r="C130" s="1007" t="s">
        <v>1444</v>
      </c>
      <c r="D130" s="1006"/>
      <c r="E130" s="1006"/>
      <c r="F130" s="1008"/>
    </row>
    <row r="131" spans="2:6" ht="15.75" thickBot="1" x14ac:dyDescent="0.3">
      <c r="B131" s="1007" t="s">
        <v>68</v>
      </c>
      <c r="C131" s="1006"/>
      <c r="D131" s="1006"/>
      <c r="E131" s="1006"/>
      <c r="F131" s="1008"/>
    </row>
    <row r="132" spans="2:6" ht="15.75" thickBot="1" x14ac:dyDescent="0.3">
      <c r="B132" s="229" t="s">
        <v>1445</v>
      </c>
      <c r="C132" s="658">
        <v>0</v>
      </c>
      <c r="D132" s="658">
        <v>0.6</v>
      </c>
      <c r="E132" s="658">
        <v>1</v>
      </c>
      <c r="F132" s="658">
        <v>1</v>
      </c>
    </row>
    <row r="133" spans="2:6" ht="15.75" thickBot="1" x14ac:dyDescent="0.3">
      <c r="B133" s="229" t="s">
        <v>1446</v>
      </c>
      <c r="C133" s="658">
        <v>0.3</v>
      </c>
      <c r="D133" s="658">
        <v>0</v>
      </c>
      <c r="E133" s="658">
        <v>0.5</v>
      </c>
      <c r="F133" s="658">
        <v>0.7</v>
      </c>
    </row>
    <row r="134" spans="2:6" ht="15.75" thickBot="1" x14ac:dyDescent="0.3">
      <c r="B134" s="62"/>
      <c r="C134" s="157"/>
      <c r="D134" s="157"/>
      <c r="E134" s="157"/>
      <c r="F134" s="157"/>
    </row>
    <row r="135" spans="2:6" ht="15.75" thickBot="1" x14ac:dyDescent="0.3">
      <c r="B135" s="1027" t="s">
        <v>69</v>
      </c>
      <c r="C135" s="1028"/>
      <c r="D135" s="1028"/>
      <c r="E135" s="1028"/>
      <c r="F135" s="1029"/>
    </row>
    <row r="136" spans="2:6" ht="15.75" thickBot="1" x14ac:dyDescent="0.3">
      <c r="B136" s="1030" t="s">
        <v>70</v>
      </c>
      <c r="C136" s="1031"/>
      <c r="D136" s="1031"/>
      <c r="E136" s="1031"/>
      <c r="F136" s="1032"/>
    </row>
    <row r="137" spans="2:6" x14ac:dyDescent="0.25">
      <c r="B137" s="998"/>
      <c r="C137" s="63">
        <v>2018</v>
      </c>
      <c r="D137" s="63">
        <v>2019</v>
      </c>
      <c r="E137" s="63">
        <v>2020</v>
      </c>
      <c r="F137" s="63">
        <v>2021</v>
      </c>
    </row>
    <row r="138" spans="2:6" ht="15.75" thickBot="1" x14ac:dyDescent="0.3">
      <c r="B138" s="999"/>
      <c r="C138" s="64" t="s">
        <v>10</v>
      </c>
      <c r="D138" s="64" t="s">
        <v>11</v>
      </c>
      <c r="E138" s="64" t="s">
        <v>11</v>
      </c>
      <c r="F138" s="64" t="s">
        <v>11</v>
      </c>
    </row>
    <row r="139" spans="2:6" ht="15.75" thickBot="1" x14ac:dyDescent="0.3">
      <c r="B139" s="160" t="s">
        <v>16</v>
      </c>
      <c r="C139" s="1319" t="s">
        <v>1447</v>
      </c>
      <c r="D139" s="1316"/>
      <c r="E139" s="1316"/>
      <c r="F139" s="1320"/>
    </row>
    <row r="140" spans="2:6" ht="279.75" customHeight="1" thickBot="1" x14ac:dyDescent="0.3">
      <c r="B140" s="62" t="s">
        <v>17</v>
      </c>
      <c r="C140" s="1564" t="s">
        <v>1448</v>
      </c>
      <c r="D140" s="1565"/>
      <c r="E140" s="1565"/>
      <c r="F140" s="1566"/>
    </row>
    <row r="141" spans="2:6" ht="15.75" thickBot="1" x14ac:dyDescent="0.3">
      <c r="B141" s="62" t="s">
        <v>18</v>
      </c>
      <c r="C141" s="1553" t="s">
        <v>151</v>
      </c>
      <c r="D141" s="1554"/>
      <c r="E141" s="1554"/>
      <c r="F141" s="1555"/>
    </row>
    <row r="142" spans="2:6" x14ac:dyDescent="0.25">
      <c r="B142" s="998"/>
      <c r="C142" s="63">
        <v>2018</v>
      </c>
      <c r="D142" s="63">
        <v>2019</v>
      </c>
      <c r="E142" s="63">
        <v>2020</v>
      </c>
      <c r="F142" s="63">
        <v>2021</v>
      </c>
    </row>
    <row r="143" spans="2:6" ht="15.75" thickBot="1" x14ac:dyDescent="0.3">
      <c r="B143" s="999"/>
      <c r="C143" s="64" t="s">
        <v>10</v>
      </c>
      <c r="D143" s="64" t="s">
        <v>11</v>
      </c>
      <c r="E143" s="64" t="s">
        <v>11</v>
      </c>
      <c r="F143" s="64" t="s">
        <v>11</v>
      </c>
    </row>
    <row r="144" spans="2:6" ht="15.75" thickBot="1" x14ac:dyDescent="0.3">
      <c r="B144" s="229" t="s">
        <v>19</v>
      </c>
      <c r="C144" s="194">
        <v>1</v>
      </c>
      <c r="D144" s="194">
        <v>2</v>
      </c>
      <c r="E144" s="194">
        <v>2</v>
      </c>
      <c r="F144" s="194">
        <v>2</v>
      </c>
    </row>
    <row r="145" spans="2:6" ht="15.75" thickBot="1" x14ac:dyDescent="0.3">
      <c r="B145" s="62" t="s">
        <v>20</v>
      </c>
      <c r="C145" s="161">
        <v>18395.112000000001</v>
      </c>
      <c r="D145" s="161">
        <v>14995.112000000001</v>
      </c>
      <c r="E145" s="161">
        <v>14995.112000000001</v>
      </c>
      <c r="F145" s="161">
        <v>14995.112000000001</v>
      </c>
    </row>
    <row r="146" spans="2:6" ht="15.75" thickBot="1" x14ac:dyDescent="0.3">
      <c r="B146" s="62" t="s">
        <v>21</v>
      </c>
      <c r="C146" s="161">
        <f>C145/C144</f>
        <v>18395.112000000001</v>
      </c>
      <c r="D146" s="161">
        <f t="shared" ref="D146:F146" si="12">D145/D144</f>
        <v>7497.5560000000005</v>
      </c>
      <c r="E146" s="161">
        <f t="shared" si="12"/>
        <v>7497.5560000000005</v>
      </c>
      <c r="F146" s="161">
        <f t="shared" si="12"/>
        <v>7497.5560000000005</v>
      </c>
    </row>
    <row r="147" spans="2:6" ht="15.75" thickBot="1" x14ac:dyDescent="0.3">
      <c r="B147" s="62" t="s">
        <v>22</v>
      </c>
      <c r="C147" s="636"/>
      <c r="D147" s="162">
        <f>D144/C144-1</f>
        <v>1</v>
      </c>
      <c r="E147" s="162">
        <f t="shared" ref="E147:F149" si="13">E144/D144-1</f>
        <v>0</v>
      </c>
      <c r="F147" s="162">
        <f t="shared" si="13"/>
        <v>0</v>
      </c>
    </row>
    <row r="148" spans="2:6" ht="15.75" thickBot="1" x14ac:dyDescent="0.3">
      <c r="B148" s="62" t="s">
        <v>24</v>
      </c>
      <c r="C148" s="636"/>
      <c r="D148" s="162">
        <f>D145/C145-1</f>
        <v>-0.18483170964112638</v>
      </c>
      <c r="E148" s="162">
        <f t="shared" si="13"/>
        <v>0</v>
      </c>
      <c r="F148" s="162">
        <f t="shared" si="13"/>
        <v>0</v>
      </c>
    </row>
    <row r="149" spans="2:6" ht="15.75" thickBot="1" x14ac:dyDescent="0.3">
      <c r="B149" s="62" t="s">
        <v>25</v>
      </c>
      <c r="C149" s="636"/>
      <c r="D149" s="162">
        <f>D146/C146-1</f>
        <v>-0.59241585482056314</v>
      </c>
      <c r="E149" s="162">
        <f t="shared" si="13"/>
        <v>0</v>
      </c>
      <c r="F149" s="162">
        <f t="shared" si="13"/>
        <v>0</v>
      </c>
    </row>
    <row r="150" spans="2:6" x14ac:dyDescent="0.25">
      <c r="B150" s="998"/>
      <c r="C150" s="63">
        <v>2018</v>
      </c>
      <c r="D150" s="63">
        <v>2019</v>
      </c>
      <c r="E150" s="63">
        <v>2020</v>
      </c>
      <c r="F150" s="63">
        <v>2021</v>
      </c>
    </row>
    <row r="151" spans="2:6" ht="15.75" thickBot="1" x14ac:dyDescent="0.3">
      <c r="B151" s="999"/>
      <c r="C151" s="64" t="s">
        <v>10</v>
      </c>
      <c r="D151" s="64" t="s">
        <v>11</v>
      </c>
      <c r="E151" s="64" t="s">
        <v>11</v>
      </c>
      <c r="F151" s="64" t="s">
        <v>11</v>
      </c>
    </row>
    <row r="152" spans="2:6" ht="15.75" thickBot="1" x14ac:dyDescent="0.3">
      <c r="B152" s="1000" t="s">
        <v>794</v>
      </c>
      <c r="C152" s="1001"/>
      <c r="D152" s="1001"/>
      <c r="E152" s="1001"/>
      <c r="F152" s="1002"/>
    </row>
    <row r="153" spans="2:6" x14ac:dyDescent="0.25">
      <c r="B153" s="998"/>
      <c r="C153" s="63">
        <v>2018</v>
      </c>
      <c r="D153" s="63">
        <v>2019</v>
      </c>
      <c r="E153" s="63">
        <v>2020</v>
      </c>
      <c r="F153" s="63">
        <v>2021</v>
      </c>
    </row>
    <row r="154" spans="2:6" ht="15.75" thickBot="1" x14ac:dyDescent="0.3">
      <c r="B154" s="999"/>
      <c r="C154" s="64" t="s">
        <v>10</v>
      </c>
      <c r="D154" s="64" t="s">
        <v>11</v>
      </c>
      <c r="E154" s="64" t="s">
        <v>11</v>
      </c>
      <c r="F154" s="64" t="s">
        <v>11</v>
      </c>
    </row>
    <row r="155" spans="2:6" ht="15.75" thickBot="1" x14ac:dyDescent="0.3">
      <c r="B155" s="65" t="s">
        <v>26</v>
      </c>
      <c r="C155" s="164">
        <f>4200+5136</f>
        <v>9336</v>
      </c>
      <c r="D155" s="164">
        <f>4200+5136-2800-200</f>
        <v>6336</v>
      </c>
      <c r="E155" s="164">
        <f t="shared" ref="E155:F155" si="14">4200+5136-2800-200</f>
        <v>6336</v>
      </c>
      <c r="F155" s="164">
        <f t="shared" si="14"/>
        <v>6336</v>
      </c>
    </row>
    <row r="156" spans="2:6" ht="30.75" thickBot="1" x14ac:dyDescent="0.3">
      <c r="B156" s="181" t="s">
        <v>27</v>
      </c>
      <c r="C156" s="165">
        <v>0</v>
      </c>
      <c r="D156" s="165">
        <v>0</v>
      </c>
      <c r="E156" s="165">
        <v>0</v>
      </c>
      <c r="F156" s="165">
        <v>0</v>
      </c>
    </row>
    <row r="157" spans="2:6" ht="30.75" thickBot="1" x14ac:dyDescent="0.3">
      <c r="B157" s="181" t="s">
        <v>45</v>
      </c>
      <c r="C157" s="165">
        <v>0</v>
      </c>
      <c r="D157" s="165">
        <v>0</v>
      </c>
      <c r="E157" s="165">
        <v>0</v>
      </c>
      <c r="F157" s="165">
        <v>0</v>
      </c>
    </row>
    <row r="158" spans="2:6" ht="15.75" thickBot="1" x14ac:dyDescent="0.3">
      <c r="B158" s="65" t="s">
        <v>28</v>
      </c>
      <c r="C158" s="164">
        <f>701.4+857.712</f>
        <v>1559.1120000000001</v>
      </c>
      <c r="D158" s="164">
        <f>701.4+857.712-470+70</f>
        <v>1159.1120000000001</v>
      </c>
      <c r="E158" s="164">
        <f t="shared" ref="E158:F158" si="15">701.4+857.712-470+70</f>
        <v>1159.1120000000001</v>
      </c>
      <c r="F158" s="164">
        <f t="shared" si="15"/>
        <v>1159.1120000000001</v>
      </c>
    </row>
    <row r="159" spans="2:6" ht="30.75" thickBot="1" x14ac:dyDescent="0.3">
      <c r="B159" s="181" t="s">
        <v>29</v>
      </c>
      <c r="C159" s="165"/>
      <c r="D159" s="164"/>
      <c r="E159" s="164"/>
      <c r="F159" s="164"/>
    </row>
    <row r="160" spans="2:6" ht="30.75" thickBot="1" x14ac:dyDescent="0.3">
      <c r="B160" s="181" t="s">
        <v>46</v>
      </c>
      <c r="C160" s="165"/>
      <c r="D160" s="164"/>
      <c r="E160" s="164"/>
      <c r="F160" s="164"/>
    </row>
    <row r="161" spans="2:6" ht="15.75" thickBot="1" x14ac:dyDescent="0.3">
      <c r="B161" s="65" t="s">
        <v>30</v>
      </c>
      <c r="C161" s="165">
        <v>7500</v>
      </c>
      <c r="D161" s="165">
        <v>7500</v>
      </c>
      <c r="E161" s="165">
        <v>7500</v>
      </c>
      <c r="F161" s="165">
        <v>7500</v>
      </c>
    </row>
    <row r="162" spans="2:6" ht="30.75" thickBot="1" x14ac:dyDescent="0.3">
      <c r="B162" s="181" t="s">
        <v>31</v>
      </c>
      <c r="C162" s="165"/>
      <c r="D162" s="164"/>
      <c r="E162" s="164"/>
      <c r="F162" s="164"/>
    </row>
    <row r="163" spans="2:6" ht="30.75" thickBot="1" x14ac:dyDescent="0.3">
      <c r="B163" s="181" t="s">
        <v>47</v>
      </c>
      <c r="C163" s="165"/>
      <c r="D163" s="164"/>
      <c r="E163" s="164"/>
      <c r="F163" s="164"/>
    </row>
    <row r="164" spans="2:6" ht="15.75" thickBot="1" x14ac:dyDescent="0.3">
      <c r="B164" s="65" t="s">
        <v>32</v>
      </c>
      <c r="C164" s="165"/>
      <c r="D164" s="164"/>
      <c r="E164" s="164"/>
      <c r="F164" s="164"/>
    </row>
    <row r="165" spans="2:6" ht="30.75" thickBot="1" x14ac:dyDescent="0.3">
      <c r="B165" s="181" t="s">
        <v>33</v>
      </c>
      <c r="C165" s="165"/>
      <c r="D165" s="164"/>
      <c r="E165" s="164"/>
      <c r="F165" s="164"/>
    </row>
    <row r="166" spans="2:6" ht="30.75" thickBot="1" x14ac:dyDescent="0.3">
      <c r="B166" s="181" t="s">
        <v>48</v>
      </c>
      <c r="C166" s="165"/>
      <c r="D166" s="164"/>
      <c r="E166" s="164"/>
      <c r="F166" s="164"/>
    </row>
    <row r="167" spans="2:6" ht="15.75" thickBot="1" x14ac:dyDescent="0.3">
      <c r="B167" s="65" t="s">
        <v>34</v>
      </c>
      <c r="C167" s="165"/>
      <c r="D167" s="164"/>
      <c r="E167" s="164"/>
      <c r="F167" s="164"/>
    </row>
    <row r="168" spans="2:6" ht="30.75" thickBot="1" x14ac:dyDescent="0.3">
      <c r="B168" s="181" t="s">
        <v>35</v>
      </c>
      <c r="C168" s="165"/>
      <c r="D168" s="164"/>
      <c r="E168" s="164"/>
      <c r="F168" s="164"/>
    </row>
    <row r="169" spans="2:6" ht="30.75" thickBot="1" x14ac:dyDescent="0.3">
      <c r="B169" s="181" t="s">
        <v>49</v>
      </c>
      <c r="C169" s="165"/>
      <c r="D169" s="164"/>
      <c r="E169" s="164"/>
      <c r="F169" s="164"/>
    </row>
    <row r="170" spans="2:6" ht="15.75" thickBot="1" x14ac:dyDescent="0.3">
      <c r="B170" s="65" t="s">
        <v>36</v>
      </c>
      <c r="C170" s="165"/>
      <c r="D170" s="164"/>
      <c r="E170" s="164"/>
      <c r="F170" s="164"/>
    </row>
    <row r="171" spans="2:6" ht="30.75" thickBot="1" x14ac:dyDescent="0.3">
      <c r="B171" s="181" t="s">
        <v>37</v>
      </c>
      <c r="C171" s="165"/>
      <c r="D171" s="164"/>
      <c r="E171" s="164"/>
      <c r="F171" s="164"/>
    </row>
    <row r="172" spans="2:6" ht="30.75" thickBot="1" x14ac:dyDescent="0.3">
      <c r="B172" s="181" t="s">
        <v>50</v>
      </c>
      <c r="C172" s="165"/>
      <c r="D172" s="164"/>
      <c r="E172" s="164"/>
      <c r="F172" s="164"/>
    </row>
    <row r="173" spans="2:6" ht="15.75" thickBot="1" x14ac:dyDescent="0.3">
      <c r="B173" s="65" t="s">
        <v>38</v>
      </c>
      <c r="C173" s="165"/>
      <c r="D173" s="164"/>
      <c r="E173" s="164"/>
      <c r="F173" s="164"/>
    </row>
    <row r="174" spans="2:6" ht="30.75" thickBot="1" x14ac:dyDescent="0.3">
      <c r="B174" s="181" t="s">
        <v>39</v>
      </c>
      <c r="C174" s="165"/>
      <c r="D174" s="164"/>
      <c r="E174" s="164"/>
      <c r="F174" s="164"/>
    </row>
    <row r="175" spans="2:6" ht="30.75" thickBot="1" x14ac:dyDescent="0.3">
      <c r="B175" s="181" t="s">
        <v>51</v>
      </c>
      <c r="C175" s="165"/>
      <c r="D175" s="164"/>
      <c r="E175" s="164"/>
      <c r="F175" s="164"/>
    </row>
    <row r="176" spans="2:6" ht="15.75" thickBot="1" x14ac:dyDescent="0.3">
      <c r="B176" s="204" t="s">
        <v>71</v>
      </c>
      <c r="C176" s="205">
        <f>C173+C170+C167+C164+C161+C158+C155</f>
        <v>18395.112000000001</v>
      </c>
      <c r="D176" s="205">
        <f t="shared" ref="D176:F176" si="16">D173+D170+D167+D164+D161+D158+D155</f>
        <v>14995.112000000001</v>
      </c>
      <c r="E176" s="205">
        <f t="shared" si="16"/>
        <v>14995.112000000001</v>
      </c>
      <c r="F176" s="205">
        <f t="shared" si="16"/>
        <v>14995.112000000001</v>
      </c>
    </row>
    <row r="177" spans="2:6" x14ac:dyDescent="0.25">
      <c r="B177" s="1015" t="s">
        <v>119</v>
      </c>
      <c r="C177" s="1037" t="s">
        <v>23</v>
      </c>
      <c r="D177" s="1037"/>
      <c r="E177" s="1037"/>
      <c r="F177" s="1038"/>
    </row>
    <row r="178" spans="2:6" x14ac:dyDescent="0.25">
      <c r="B178" s="1016"/>
      <c r="C178" s="1040"/>
      <c r="D178" s="1040"/>
      <c r="E178" s="1040"/>
      <c r="F178" s="1041"/>
    </row>
    <row r="179" spans="2:6" ht="15.75" thickBot="1" x14ac:dyDescent="0.3">
      <c r="B179" s="1017"/>
      <c r="C179" s="1043"/>
      <c r="D179" s="1043"/>
      <c r="E179" s="1043"/>
      <c r="F179" s="1044"/>
    </row>
    <row r="180" spans="2:6" ht="15.75" thickBot="1" x14ac:dyDescent="0.3">
      <c r="B180" s="166" t="s">
        <v>41</v>
      </c>
      <c r="C180" s="167">
        <f>IF(C176-C145=0,0,"Error")</f>
        <v>0</v>
      </c>
      <c r="D180" s="167">
        <f>IF(D176-D145=0,0,"Error")</f>
        <v>0</v>
      </c>
      <c r="E180" s="167">
        <f>IF(E176-E145=0,0,"Error")</f>
        <v>0</v>
      </c>
      <c r="F180" s="167">
        <f>IF(F176-F145=0,0,"Error")</f>
        <v>0</v>
      </c>
    </row>
    <row r="181" spans="2:6" ht="15.75" thickBot="1" x14ac:dyDescent="0.3">
      <c r="B181" s="989" t="s">
        <v>63</v>
      </c>
      <c r="C181" s="990"/>
      <c r="D181" s="990"/>
      <c r="E181" s="990"/>
      <c r="F181" s="991"/>
    </row>
    <row r="182" spans="2:6" ht="15.75" thickBot="1" x14ac:dyDescent="0.3">
      <c r="B182" s="989" t="s">
        <v>56</v>
      </c>
      <c r="C182" s="990"/>
      <c r="D182" s="990"/>
      <c r="E182" s="990"/>
      <c r="F182" s="991"/>
    </row>
    <row r="183" spans="2:6" ht="15.75" thickBot="1" x14ac:dyDescent="0.3">
      <c r="B183" s="67" t="s">
        <v>1449</v>
      </c>
      <c r="C183" s="1009" t="s">
        <v>1450</v>
      </c>
      <c r="D183" s="1010"/>
      <c r="E183" s="1010"/>
      <c r="F183" s="1011"/>
    </row>
    <row r="184" spans="2:6" ht="15.75" thickBot="1" x14ac:dyDescent="0.3">
      <c r="B184" s="160" t="s">
        <v>16</v>
      </c>
      <c r="C184" s="992" t="s">
        <v>1451</v>
      </c>
      <c r="D184" s="993"/>
      <c r="E184" s="993"/>
      <c r="F184" s="994"/>
    </row>
    <row r="185" spans="2:6" ht="33" customHeight="1" thickBot="1" x14ac:dyDescent="0.3">
      <c r="B185" s="62" t="s">
        <v>17</v>
      </c>
      <c r="C185" s="1069" t="s">
        <v>1452</v>
      </c>
      <c r="D185" s="1070"/>
      <c r="E185" s="1070"/>
      <c r="F185" s="1071"/>
    </row>
    <row r="186" spans="2:6" ht="15.75" thickBot="1" x14ac:dyDescent="0.3">
      <c r="B186" s="62" t="s">
        <v>18</v>
      </c>
      <c r="C186" s="995" t="s">
        <v>151</v>
      </c>
      <c r="D186" s="996"/>
      <c r="E186" s="996"/>
      <c r="F186" s="997"/>
    </row>
    <row r="187" spans="2:6" x14ac:dyDescent="0.25">
      <c r="B187" s="998"/>
      <c r="C187" s="63">
        <v>2018</v>
      </c>
      <c r="D187" s="63">
        <v>2019</v>
      </c>
      <c r="E187" s="63">
        <v>2020</v>
      </c>
      <c r="F187" s="63">
        <v>2021</v>
      </c>
    </row>
    <row r="188" spans="2:6" ht="15.75" thickBot="1" x14ac:dyDescent="0.3">
      <c r="B188" s="999"/>
      <c r="C188" s="64" t="s">
        <v>10</v>
      </c>
      <c r="D188" s="64" t="s">
        <v>11</v>
      </c>
      <c r="E188" s="64" t="s">
        <v>11</v>
      </c>
      <c r="F188" s="64" t="s">
        <v>11</v>
      </c>
    </row>
    <row r="189" spans="2:6" ht="15.75" thickBot="1" x14ac:dyDescent="0.3">
      <c r="B189" s="62" t="s">
        <v>19</v>
      </c>
      <c r="C189" s="161">
        <v>14</v>
      </c>
      <c r="D189" s="161">
        <v>0</v>
      </c>
      <c r="E189" s="161">
        <v>30</v>
      </c>
      <c r="F189" s="161">
        <v>30</v>
      </c>
    </row>
    <row r="190" spans="2:6" ht="15.75" thickBot="1" x14ac:dyDescent="0.3">
      <c r="B190" s="62" t="s">
        <v>20</v>
      </c>
      <c r="C190" s="161">
        <v>2500</v>
      </c>
      <c r="D190" s="161"/>
      <c r="E190" s="161">
        <v>5800</v>
      </c>
      <c r="F190" s="161">
        <v>5800</v>
      </c>
    </row>
    <row r="191" spans="2:6" ht="15.75" thickBot="1" x14ac:dyDescent="0.3">
      <c r="B191" s="62" t="s">
        <v>21</v>
      </c>
      <c r="C191" s="161">
        <f>C190/C189</f>
        <v>178.57142857142858</v>
      </c>
      <c r="D191" s="161" t="e">
        <f t="shared" ref="D191:F191" si="17">D190/D189</f>
        <v>#DIV/0!</v>
      </c>
      <c r="E191" s="161">
        <f t="shared" si="17"/>
        <v>193.33333333333334</v>
      </c>
      <c r="F191" s="161">
        <f t="shared" si="17"/>
        <v>193.33333333333334</v>
      </c>
    </row>
    <row r="192" spans="2:6" ht="15.75" thickBot="1" x14ac:dyDescent="0.3">
      <c r="B192" s="62" t="s">
        <v>22</v>
      </c>
      <c r="C192" s="636" t="s">
        <v>23</v>
      </c>
      <c r="D192" s="162">
        <f>D189/C189-1</f>
        <v>-1</v>
      </c>
      <c r="E192" s="162" t="e">
        <f t="shared" ref="E192:F194" si="18">E189/D189-1</f>
        <v>#DIV/0!</v>
      </c>
      <c r="F192" s="162">
        <f t="shared" si="18"/>
        <v>0</v>
      </c>
    </row>
    <row r="193" spans="2:6" ht="15.75" thickBot="1" x14ac:dyDescent="0.3">
      <c r="B193" s="62" t="s">
        <v>24</v>
      </c>
      <c r="C193" s="636" t="s">
        <v>23</v>
      </c>
      <c r="D193" s="162">
        <f>D190/C190-1</f>
        <v>-1</v>
      </c>
      <c r="E193" s="162" t="e">
        <f t="shared" si="18"/>
        <v>#DIV/0!</v>
      </c>
      <c r="F193" s="162">
        <f t="shared" si="18"/>
        <v>0</v>
      </c>
    </row>
    <row r="194" spans="2:6" ht="15.75" thickBot="1" x14ac:dyDescent="0.3">
      <c r="B194" s="62" t="s">
        <v>25</v>
      </c>
      <c r="C194" s="636" t="s">
        <v>23</v>
      </c>
      <c r="D194" s="162" t="e">
        <f>D191/C191-1</f>
        <v>#DIV/0!</v>
      </c>
      <c r="E194" s="162" t="e">
        <f t="shared" si="18"/>
        <v>#DIV/0!</v>
      </c>
      <c r="F194" s="162">
        <f t="shared" si="18"/>
        <v>0</v>
      </c>
    </row>
    <row r="195" spans="2:6" ht="15.75" thickBot="1" x14ac:dyDescent="0.3">
      <c r="B195" s="1000" t="s">
        <v>784</v>
      </c>
      <c r="C195" s="1001"/>
      <c r="D195" s="1001"/>
      <c r="E195" s="1001"/>
      <c r="F195" s="1002"/>
    </row>
    <row r="196" spans="2:6" x14ac:dyDescent="0.25">
      <c r="B196" s="998"/>
      <c r="C196" s="63">
        <v>2018</v>
      </c>
      <c r="D196" s="63">
        <v>2019</v>
      </c>
      <c r="E196" s="63">
        <v>2020</v>
      </c>
      <c r="F196" s="63">
        <v>2021</v>
      </c>
    </row>
    <row r="197" spans="2:6" ht="15.75" thickBot="1" x14ac:dyDescent="0.3">
      <c r="B197" s="999"/>
      <c r="C197" s="64" t="s">
        <v>10</v>
      </c>
      <c r="D197" s="64" t="s">
        <v>11</v>
      </c>
      <c r="E197" s="64" t="s">
        <v>11</v>
      </c>
      <c r="F197" s="64" t="s">
        <v>11</v>
      </c>
    </row>
    <row r="198" spans="2:6" ht="15.75" thickBot="1" x14ac:dyDescent="0.3">
      <c r="B198" s="65" t="s">
        <v>58</v>
      </c>
      <c r="C198" s="164"/>
      <c r="D198" s="164"/>
      <c r="E198" s="164"/>
      <c r="F198" s="164"/>
    </row>
    <row r="199" spans="2:6" ht="15.75" thickBot="1" x14ac:dyDescent="0.3">
      <c r="B199" s="65" t="s">
        <v>59</v>
      </c>
      <c r="C199" s="165">
        <v>2500</v>
      </c>
      <c r="D199" s="164">
        <v>0</v>
      </c>
      <c r="E199" s="164">
        <v>5800</v>
      </c>
      <c r="F199" s="164">
        <v>5800</v>
      </c>
    </row>
    <row r="200" spans="2:6" ht="15.75" thickBot="1" x14ac:dyDescent="0.3">
      <c r="B200" s="66" t="s">
        <v>40</v>
      </c>
      <c r="C200" s="165">
        <f>C199+C198</f>
        <v>2500</v>
      </c>
      <c r="D200" s="165">
        <f t="shared" ref="D200:F200" si="19">D199+D198</f>
        <v>0</v>
      </c>
      <c r="E200" s="165">
        <f t="shared" si="19"/>
        <v>5800</v>
      </c>
      <c r="F200" s="165">
        <f t="shared" si="19"/>
        <v>5800</v>
      </c>
    </row>
    <row r="201" spans="2:6" x14ac:dyDescent="0.25">
      <c r="B201" s="1015" t="s">
        <v>60</v>
      </c>
      <c r="C201" s="1036"/>
      <c r="D201" s="1037"/>
      <c r="E201" s="1037"/>
      <c r="F201" s="1038"/>
    </row>
    <row r="202" spans="2:6" x14ac:dyDescent="0.25">
      <c r="B202" s="1016"/>
      <c r="C202" s="1039"/>
      <c r="D202" s="1040"/>
      <c r="E202" s="1040"/>
      <c r="F202" s="1041"/>
    </row>
    <row r="203" spans="2:6" ht="15.75" thickBot="1" x14ac:dyDescent="0.3">
      <c r="B203" s="1017"/>
      <c r="C203" s="1042"/>
      <c r="D203" s="1043"/>
      <c r="E203" s="1043"/>
      <c r="F203" s="1044"/>
    </row>
    <row r="204" spans="2:6" ht="15.75" thickBot="1" x14ac:dyDescent="0.3">
      <c r="B204" s="989" t="s">
        <v>63</v>
      </c>
      <c r="C204" s="990"/>
      <c r="D204" s="990"/>
      <c r="E204" s="990"/>
      <c r="F204" s="991"/>
    </row>
    <row r="205" spans="2:6" ht="15.75" thickBot="1" x14ac:dyDescent="0.3">
      <c r="B205" s="989" t="s">
        <v>64</v>
      </c>
      <c r="C205" s="990"/>
      <c r="D205" s="990"/>
      <c r="E205" s="990"/>
      <c r="F205" s="991"/>
    </row>
    <row r="206" spans="2:6" ht="15.75" thickBot="1" x14ac:dyDescent="0.3">
      <c r="B206" s="67" t="s">
        <v>1453</v>
      </c>
      <c r="C206" s="1009" t="s">
        <v>1454</v>
      </c>
      <c r="D206" s="1010"/>
      <c r="E206" s="1010"/>
      <c r="F206" s="1011"/>
    </row>
    <row r="207" spans="2:6" ht="15.75" thickBot="1" x14ac:dyDescent="0.3">
      <c r="B207" s="160" t="s">
        <v>16</v>
      </c>
      <c r="C207" s="992" t="s">
        <v>1455</v>
      </c>
      <c r="D207" s="993"/>
      <c r="E207" s="993"/>
      <c r="F207" s="994"/>
    </row>
    <row r="208" spans="2:6" ht="190.5" customHeight="1" thickBot="1" x14ac:dyDescent="0.3">
      <c r="B208" s="62" t="s">
        <v>17</v>
      </c>
      <c r="C208" s="1069" t="s">
        <v>1456</v>
      </c>
      <c r="D208" s="1236"/>
      <c r="E208" s="1236"/>
      <c r="F208" s="1237"/>
    </row>
    <row r="209" spans="2:6" ht="15.75" thickBot="1" x14ac:dyDescent="0.3">
      <c r="B209" s="62" t="s">
        <v>18</v>
      </c>
      <c r="C209" s="1235" t="s">
        <v>1400</v>
      </c>
      <c r="D209" s="1236"/>
      <c r="E209" s="1236"/>
      <c r="F209" s="1237"/>
    </row>
    <row r="210" spans="2:6" x14ac:dyDescent="0.25">
      <c r="B210" s="998"/>
      <c r="C210" s="63">
        <v>2018</v>
      </c>
      <c r="D210" s="63">
        <v>2019</v>
      </c>
      <c r="E210" s="63">
        <v>2020</v>
      </c>
      <c r="F210" s="63">
        <v>2021</v>
      </c>
    </row>
    <row r="211" spans="2:6" ht="15.75" thickBot="1" x14ac:dyDescent="0.3">
      <c r="B211" s="999"/>
      <c r="C211" s="64" t="s">
        <v>10</v>
      </c>
      <c r="D211" s="64" t="s">
        <v>11</v>
      </c>
      <c r="E211" s="64" t="s">
        <v>11</v>
      </c>
      <c r="F211" s="64" t="s">
        <v>11</v>
      </c>
    </row>
    <row r="212" spans="2:6" ht="15.75" thickBot="1" x14ac:dyDescent="0.3">
      <c r="B212" s="62" t="s">
        <v>19</v>
      </c>
      <c r="C212" s="194">
        <v>1</v>
      </c>
      <c r="D212" s="194">
        <v>1</v>
      </c>
      <c r="E212" s="194">
        <v>1</v>
      </c>
      <c r="F212" s="194">
        <v>0</v>
      </c>
    </row>
    <row r="213" spans="2:6" ht="15.75" thickBot="1" x14ac:dyDescent="0.3">
      <c r="B213" s="62" t="s">
        <v>20</v>
      </c>
      <c r="C213" s="161">
        <v>4500</v>
      </c>
      <c r="D213" s="161">
        <v>40000</v>
      </c>
      <c r="E213" s="161">
        <v>30000</v>
      </c>
      <c r="F213" s="161"/>
    </row>
    <row r="214" spans="2:6" ht="15.75" thickBot="1" x14ac:dyDescent="0.3">
      <c r="B214" s="62" t="s">
        <v>21</v>
      </c>
      <c r="C214" s="161">
        <f>C213/C212</f>
        <v>4500</v>
      </c>
      <c r="D214" s="161">
        <f t="shared" ref="D214:F214" si="20">D213/D212</f>
        <v>40000</v>
      </c>
      <c r="E214" s="161">
        <f t="shared" si="20"/>
        <v>30000</v>
      </c>
      <c r="F214" s="161" t="e">
        <f t="shared" si="20"/>
        <v>#DIV/0!</v>
      </c>
    </row>
    <row r="215" spans="2:6" ht="15.75" thickBot="1" x14ac:dyDescent="0.3">
      <c r="B215" s="62" t="s">
        <v>22</v>
      </c>
      <c r="C215" s="636" t="s">
        <v>23</v>
      </c>
      <c r="D215" s="162">
        <f>D212/C212-1</f>
        <v>0</v>
      </c>
      <c r="E215" s="162">
        <f t="shared" ref="E215:F217" si="21">E212/D212-1</f>
        <v>0</v>
      </c>
      <c r="F215" s="162">
        <f t="shared" si="21"/>
        <v>-1</v>
      </c>
    </row>
    <row r="216" spans="2:6" ht="15.75" thickBot="1" x14ac:dyDescent="0.3">
      <c r="B216" s="62" t="s">
        <v>24</v>
      </c>
      <c r="C216" s="636" t="s">
        <v>23</v>
      </c>
      <c r="D216" s="162">
        <f>D213/C213-1</f>
        <v>7.8888888888888893</v>
      </c>
      <c r="E216" s="162">
        <f t="shared" si="21"/>
        <v>-0.25</v>
      </c>
      <c r="F216" s="162">
        <f t="shared" si="21"/>
        <v>-1</v>
      </c>
    </row>
    <row r="217" spans="2:6" ht="15.75" thickBot="1" x14ac:dyDescent="0.3">
      <c r="B217" s="62" t="s">
        <v>25</v>
      </c>
      <c r="C217" s="636" t="s">
        <v>23</v>
      </c>
      <c r="D217" s="162">
        <f>D214/C214-1</f>
        <v>7.8888888888888893</v>
      </c>
      <c r="E217" s="162">
        <f t="shared" si="21"/>
        <v>-0.25</v>
      </c>
      <c r="F217" s="162" t="e">
        <f t="shared" si="21"/>
        <v>#DIV/0!</v>
      </c>
    </row>
    <row r="218" spans="2:6" ht="15.75" thickBot="1" x14ac:dyDescent="0.3">
      <c r="B218" s="1000" t="s">
        <v>784</v>
      </c>
      <c r="C218" s="1001"/>
      <c r="D218" s="1001"/>
      <c r="E218" s="1001"/>
      <c r="F218" s="1002"/>
    </row>
    <row r="219" spans="2:6" x14ac:dyDescent="0.25">
      <c r="B219" s="998"/>
      <c r="C219" s="63">
        <v>2018</v>
      </c>
      <c r="D219" s="63">
        <v>2019</v>
      </c>
      <c r="E219" s="63">
        <v>2020</v>
      </c>
      <c r="F219" s="63">
        <v>2021</v>
      </c>
    </row>
    <row r="220" spans="2:6" ht="15.75" thickBot="1" x14ac:dyDescent="0.3">
      <c r="B220" s="999"/>
      <c r="C220" s="64" t="s">
        <v>10</v>
      </c>
      <c r="D220" s="64" t="s">
        <v>11</v>
      </c>
      <c r="E220" s="64" t="s">
        <v>11</v>
      </c>
      <c r="F220" s="64" t="s">
        <v>11</v>
      </c>
    </row>
    <row r="221" spans="2:6" ht="15.75" thickBot="1" x14ac:dyDescent="0.3">
      <c r="B221" s="65" t="s">
        <v>58</v>
      </c>
      <c r="C221" s="164">
        <v>4500</v>
      </c>
      <c r="D221" s="164"/>
      <c r="E221" s="164"/>
      <c r="F221" s="164"/>
    </row>
    <row r="222" spans="2:6" ht="15.75" thickBot="1" x14ac:dyDescent="0.3">
      <c r="B222" s="65" t="s">
        <v>59</v>
      </c>
      <c r="C222" s="165"/>
      <c r="D222" s="164">
        <v>40000</v>
      </c>
      <c r="E222" s="164">
        <v>30000</v>
      </c>
      <c r="F222" s="164"/>
    </row>
    <row r="223" spans="2:6" ht="15.75" thickBot="1" x14ac:dyDescent="0.3">
      <c r="B223" s="66" t="s">
        <v>40</v>
      </c>
      <c r="C223" s="165">
        <f>C222+C221</f>
        <v>4500</v>
      </c>
      <c r="D223" s="165">
        <f t="shared" ref="D223:F223" si="22">D222+D221</f>
        <v>40000</v>
      </c>
      <c r="E223" s="165">
        <f t="shared" si="22"/>
        <v>30000</v>
      </c>
      <c r="F223" s="165">
        <f t="shared" si="22"/>
        <v>0</v>
      </c>
    </row>
    <row r="224" spans="2:6" x14ac:dyDescent="0.25">
      <c r="B224" s="1015" t="s">
        <v>60</v>
      </c>
      <c r="C224" s="1036"/>
      <c r="D224" s="1037"/>
      <c r="E224" s="1037"/>
      <c r="F224" s="1038"/>
    </row>
    <row r="225" spans="2:6" x14ac:dyDescent="0.25">
      <c r="B225" s="1016"/>
      <c r="C225" s="1039"/>
      <c r="D225" s="1040"/>
      <c r="E225" s="1040"/>
      <c r="F225" s="1041"/>
    </row>
    <row r="226" spans="2:6" ht="15.75" thickBot="1" x14ac:dyDescent="0.3">
      <c r="B226" s="1017"/>
      <c r="C226" s="1042"/>
      <c r="D226" s="1043"/>
      <c r="E226" s="1043"/>
      <c r="F226" s="1044"/>
    </row>
    <row r="227" spans="2:6" ht="15.75" thickBot="1" x14ac:dyDescent="0.3">
      <c r="B227" s="67" t="s">
        <v>1457</v>
      </c>
      <c r="C227" s="1009" t="s">
        <v>1458</v>
      </c>
      <c r="D227" s="1010"/>
      <c r="E227" s="1010"/>
      <c r="F227" s="1011"/>
    </row>
    <row r="228" spans="2:6" ht="15.75" thickBot="1" x14ac:dyDescent="0.3">
      <c r="B228" s="160" t="s">
        <v>129</v>
      </c>
      <c r="C228" s="992" t="s">
        <v>1459</v>
      </c>
      <c r="D228" s="993"/>
      <c r="E228" s="993"/>
      <c r="F228" s="994"/>
    </row>
    <row r="229" spans="2:6" ht="84" customHeight="1" thickBot="1" x14ac:dyDescent="0.3">
      <c r="B229" s="62" t="s">
        <v>17</v>
      </c>
      <c r="C229" s="1069" t="s">
        <v>1460</v>
      </c>
      <c r="D229" s="1070"/>
      <c r="E229" s="1070"/>
      <c r="F229" s="1071"/>
    </row>
    <row r="230" spans="2:6" ht="15.75" thickBot="1" x14ac:dyDescent="0.3">
      <c r="B230" s="62" t="s">
        <v>18</v>
      </c>
      <c r="C230" s="1235" t="s">
        <v>151</v>
      </c>
      <c r="D230" s="1236"/>
      <c r="E230" s="1236"/>
      <c r="F230" s="1237"/>
    </row>
    <row r="231" spans="2:6" x14ac:dyDescent="0.25">
      <c r="B231" s="998"/>
      <c r="C231" s="63">
        <v>2018</v>
      </c>
      <c r="D231" s="63">
        <v>2019</v>
      </c>
      <c r="E231" s="63">
        <v>2020</v>
      </c>
      <c r="F231" s="63">
        <v>2021</v>
      </c>
    </row>
    <row r="232" spans="2:6" ht="15.75" thickBot="1" x14ac:dyDescent="0.3">
      <c r="B232" s="999"/>
      <c r="C232" s="64" t="s">
        <v>10</v>
      </c>
      <c r="D232" s="64" t="s">
        <v>11</v>
      </c>
      <c r="E232" s="64" t="s">
        <v>11</v>
      </c>
      <c r="F232" s="64" t="s">
        <v>11</v>
      </c>
    </row>
    <row r="233" spans="2:6" ht="15.75" thickBot="1" x14ac:dyDescent="0.3">
      <c r="B233" s="62" t="s">
        <v>19</v>
      </c>
      <c r="C233" s="194">
        <v>0</v>
      </c>
      <c r="D233" s="194">
        <v>0</v>
      </c>
      <c r="E233" s="194">
        <v>4</v>
      </c>
      <c r="F233" s="194">
        <v>4</v>
      </c>
    </row>
    <row r="234" spans="2:6" ht="15.75" thickBot="1" x14ac:dyDescent="0.3">
      <c r="B234" s="62" t="s">
        <v>20</v>
      </c>
      <c r="C234" s="161">
        <v>0</v>
      </c>
      <c r="D234" s="161"/>
      <c r="E234" s="161">
        <v>15000</v>
      </c>
      <c r="F234" s="161">
        <v>15000</v>
      </c>
    </row>
    <row r="235" spans="2:6" ht="15.75" thickBot="1" x14ac:dyDescent="0.3">
      <c r="B235" s="62" t="s">
        <v>21</v>
      </c>
      <c r="C235" s="161" t="e">
        <f>C234/C233</f>
        <v>#DIV/0!</v>
      </c>
      <c r="D235" s="161" t="e">
        <f t="shared" ref="D235:F235" si="23">D234/D233</f>
        <v>#DIV/0!</v>
      </c>
      <c r="E235" s="161">
        <f t="shared" si="23"/>
        <v>3750</v>
      </c>
      <c r="F235" s="161">
        <f t="shared" si="23"/>
        <v>3750</v>
      </c>
    </row>
    <row r="236" spans="2:6" ht="15.75" thickBot="1" x14ac:dyDescent="0.3">
      <c r="B236" s="62" t="s">
        <v>22</v>
      </c>
      <c r="C236" s="636" t="s">
        <v>23</v>
      </c>
      <c r="D236" s="162" t="e">
        <f>D233/C233-1</f>
        <v>#DIV/0!</v>
      </c>
      <c r="E236" s="162" t="e">
        <f t="shared" ref="E236:F238" si="24">E233/D233-1</f>
        <v>#DIV/0!</v>
      </c>
      <c r="F236" s="162">
        <f t="shared" si="24"/>
        <v>0</v>
      </c>
    </row>
    <row r="237" spans="2:6" ht="15.75" thickBot="1" x14ac:dyDescent="0.3">
      <c r="B237" s="62" t="s">
        <v>24</v>
      </c>
      <c r="C237" s="636" t="s">
        <v>23</v>
      </c>
      <c r="D237" s="162" t="e">
        <f>D234/C234-1</f>
        <v>#DIV/0!</v>
      </c>
      <c r="E237" s="162" t="e">
        <f t="shared" si="24"/>
        <v>#DIV/0!</v>
      </c>
      <c r="F237" s="162">
        <f t="shared" si="24"/>
        <v>0</v>
      </c>
    </row>
    <row r="238" spans="2:6" ht="15.75" thickBot="1" x14ac:dyDescent="0.3">
      <c r="B238" s="62" t="s">
        <v>25</v>
      </c>
      <c r="C238" s="636" t="s">
        <v>23</v>
      </c>
      <c r="D238" s="162" t="e">
        <f>D235/C235-1</f>
        <v>#DIV/0!</v>
      </c>
      <c r="E238" s="162" t="e">
        <f t="shared" si="24"/>
        <v>#DIV/0!</v>
      </c>
      <c r="F238" s="162">
        <f t="shared" si="24"/>
        <v>0</v>
      </c>
    </row>
    <row r="239" spans="2:6" ht="15.75" thickBot="1" x14ac:dyDescent="0.3">
      <c r="B239" s="1000" t="s">
        <v>793</v>
      </c>
      <c r="C239" s="1001"/>
      <c r="D239" s="1001"/>
      <c r="E239" s="1001"/>
      <c r="F239" s="1002"/>
    </row>
    <row r="240" spans="2:6" x14ac:dyDescent="0.25">
      <c r="B240" s="998"/>
      <c r="C240" s="63">
        <v>2018</v>
      </c>
      <c r="D240" s="63">
        <v>2019</v>
      </c>
      <c r="E240" s="63">
        <v>2020</v>
      </c>
      <c r="F240" s="63">
        <v>2021</v>
      </c>
    </row>
    <row r="241" spans="2:6" ht="15.75" thickBot="1" x14ac:dyDescent="0.3">
      <c r="B241" s="999"/>
      <c r="C241" s="64" t="s">
        <v>10</v>
      </c>
      <c r="D241" s="64" t="s">
        <v>11</v>
      </c>
      <c r="E241" s="64" t="s">
        <v>11</v>
      </c>
      <c r="F241" s="64" t="s">
        <v>11</v>
      </c>
    </row>
    <row r="242" spans="2:6" ht="15.75" thickBot="1" x14ac:dyDescent="0.3">
      <c r="B242" s="65" t="s">
        <v>58</v>
      </c>
      <c r="C242" s="164"/>
      <c r="D242" s="164"/>
      <c r="E242" s="164"/>
      <c r="F242" s="164"/>
    </row>
    <row r="243" spans="2:6" ht="15.75" thickBot="1" x14ac:dyDescent="0.3">
      <c r="B243" s="65" t="s">
        <v>59</v>
      </c>
      <c r="C243" s="165"/>
      <c r="D243" s="164"/>
      <c r="E243" s="164">
        <v>15000</v>
      </c>
      <c r="F243" s="164">
        <v>15000</v>
      </c>
    </row>
    <row r="244" spans="2:6" ht="15.75" thickBot="1" x14ac:dyDescent="0.3">
      <c r="B244" s="66" t="s">
        <v>74</v>
      </c>
      <c r="C244" s="165">
        <f>C243+C242</f>
        <v>0</v>
      </c>
      <c r="D244" s="165">
        <f t="shared" ref="D244:F244" si="25">D243+D242</f>
        <v>0</v>
      </c>
      <c r="E244" s="165">
        <f t="shared" si="25"/>
        <v>15000</v>
      </c>
      <c r="F244" s="165">
        <f t="shared" si="25"/>
        <v>15000</v>
      </c>
    </row>
    <row r="245" spans="2:6" x14ac:dyDescent="0.25">
      <c r="B245" s="1015" t="s">
        <v>62</v>
      </c>
      <c r="C245" s="1036"/>
      <c r="D245" s="1037"/>
      <c r="E245" s="1037"/>
      <c r="F245" s="1038"/>
    </row>
    <row r="246" spans="2:6" x14ac:dyDescent="0.25">
      <c r="B246" s="1016"/>
      <c r="C246" s="1039"/>
      <c r="D246" s="1040"/>
      <c r="E246" s="1040"/>
      <c r="F246" s="1041"/>
    </row>
    <row r="247" spans="2:6" ht="15.75" thickBot="1" x14ac:dyDescent="0.3">
      <c r="B247" s="1017"/>
      <c r="C247" s="1042"/>
      <c r="D247" s="1043"/>
      <c r="E247" s="1043"/>
      <c r="F247" s="1044"/>
    </row>
    <row r="248" spans="2:6" ht="15.75" thickBot="1" x14ac:dyDescent="0.3">
      <c r="B248" s="67" t="s">
        <v>1461</v>
      </c>
      <c r="C248" s="1009" t="s">
        <v>1462</v>
      </c>
      <c r="D248" s="1010"/>
      <c r="E248" s="1010"/>
      <c r="F248" s="1011"/>
    </row>
    <row r="249" spans="2:6" ht="15.75" thickBot="1" x14ac:dyDescent="0.3">
      <c r="B249" s="160" t="s">
        <v>129</v>
      </c>
      <c r="C249" s="992" t="s">
        <v>1463</v>
      </c>
      <c r="D249" s="993"/>
      <c r="E249" s="993"/>
      <c r="F249" s="994"/>
    </row>
    <row r="250" spans="2:6" ht="15.75" thickBot="1" x14ac:dyDescent="0.3">
      <c r="B250" s="62" t="s">
        <v>17</v>
      </c>
      <c r="C250" s="1235" t="s">
        <v>1464</v>
      </c>
      <c r="D250" s="1236"/>
      <c r="E250" s="1236"/>
      <c r="F250" s="1237"/>
    </row>
    <row r="251" spans="2:6" ht="15.75" thickBot="1" x14ac:dyDescent="0.3">
      <c r="B251" s="62" t="s">
        <v>18</v>
      </c>
      <c r="C251" s="1235" t="s">
        <v>151</v>
      </c>
      <c r="D251" s="1236"/>
      <c r="E251" s="1236"/>
      <c r="F251" s="1237"/>
    </row>
    <row r="252" spans="2:6" x14ac:dyDescent="0.25">
      <c r="B252" s="998"/>
      <c r="C252" s="63">
        <v>2018</v>
      </c>
      <c r="D252" s="63">
        <v>2019</v>
      </c>
      <c r="E252" s="63">
        <v>2020</v>
      </c>
      <c r="F252" s="63">
        <v>2021</v>
      </c>
    </row>
    <row r="253" spans="2:6" ht="15.75" thickBot="1" x14ac:dyDescent="0.3">
      <c r="B253" s="999"/>
      <c r="C253" s="64" t="s">
        <v>10</v>
      </c>
      <c r="D253" s="64" t="s">
        <v>11</v>
      </c>
      <c r="E253" s="64" t="s">
        <v>11</v>
      </c>
      <c r="F253" s="64" t="s">
        <v>11</v>
      </c>
    </row>
    <row r="254" spans="2:6" ht="15.75" thickBot="1" x14ac:dyDescent="0.3">
      <c r="B254" s="62" t="s">
        <v>19</v>
      </c>
      <c r="C254" s="161">
        <v>2</v>
      </c>
      <c r="D254" s="161">
        <v>3</v>
      </c>
      <c r="E254" s="161">
        <v>3</v>
      </c>
      <c r="F254" s="161">
        <v>0</v>
      </c>
    </row>
    <row r="255" spans="2:6" ht="15.75" thickBot="1" x14ac:dyDescent="0.3">
      <c r="B255" s="62" t="s">
        <v>20</v>
      </c>
      <c r="C255" s="161">
        <v>5000</v>
      </c>
      <c r="D255" s="161">
        <v>8000</v>
      </c>
      <c r="E255" s="161">
        <v>8000</v>
      </c>
      <c r="F255" s="161"/>
    </row>
    <row r="256" spans="2:6" ht="15.75" thickBot="1" x14ac:dyDescent="0.3">
      <c r="B256" s="62" t="s">
        <v>21</v>
      </c>
      <c r="C256" s="161">
        <f>C255/C254</f>
        <v>2500</v>
      </c>
      <c r="D256" s="161">
        <f t="shared" ref="D256:F256" si="26">D255/D254</f>
        <v>2666.6666666666665</v>
      </c>
      <c r="E256" s="161">
        <f t="shared" si="26"/>
        <v>2666.6666666666665</v>
      </c>
      <c r="F256" s="161" t="e">
        <f t="shared" si="26"/>
        <v>#DIV/0!</v>
      </c>
    </row>
    <row r="257" spans="2:6" ht="15.75" thickBot="1" x14ac:dyDescent="0.3">
      <c r="B257" s="62" t="s">
        <v>22</v>
      </c>
      <c r="C257" s="636" t="s">
        <v>23</v>
      </c>
      <c r="D257" s="162">
        <f>D254/C254-1</f>
        <v>0.5</v>
      </c>
      <c r="E257" s="162">
        <f t="shared" ref="E257:F259" si="27">E254/D254-1</f>
        <v>0</v>
      </c>
      <c r="F257" s="162">
        <f t="shared" si="27"/>
        <v>-1</v>
      </c>
    </row>
    <row r="258" spans="2:6" ht="15.75" thickBot="1" x14ac:dyDescent="0.3">
      <c r="B258" s="62" t="s">
        <v>24</v>
      </c>
      <c r="C258" s="636" t="s">
        <v>23</v>
      </c>
      <c r="D258" s="162">
        <f>D255/C255-1</f>
        <v>0.60000000000000009</v>
      </c>
      <c r="E258" s="162">
        <f t="shared" si="27"/>
        <v>0</v>
      </c>
      <c r="F258" s="162">
        <f t="shared" si="27"/>
        <v>-1</v>
      </c>
    </row>
    <row r="259" spans="2:6" ht="15.75" thickBot="1" x14ac:dyDescent="0.3">
      <c r="B259" s="62" t="s">
        <v>25</v>
      </c>
      <c r="C259" s="636" t="s">
        <v>23</v>
      </c>
      <c r="D259" s="162">
        <f>D256/C256-1</f>
        <v>6.6666666666666652E-2</v>
      </c>
      <c r="E259" s="162">
        <f t="shared" si="27"/>
        <v>0</v>
      </c>
      <c r="F259" s="162" t="e">
        <f t="shared" si="27"/>
        <v>#DIV/0!</v>
      </c>
    </row>
    <row r="260" spans="2:6" ht="15.75" thickBot="1" x14ac:dyDescent="0.3">
      <c r="B260" s="1000" t="s">
        <v>793</v>
      </c>
      <c r="C260" s="1001"/>
      <c r="D260" s="1001"/>
      <c r="E260" s="1001"/>
      <c r="F260" s="1002"/>
    </row>
    <row r="261" spans="2:6" x14ac:dyDescent="0.25">
      <c r="B261" s="998"/>
      <c r="C261" s="63">
        <v>2018</v>
      </c>
      <c r="D261" s="63">
        <v>2019</v>
      </c>
      <c r="E261" s="63">
        <v>2020</v>
      </c>
      <c r="F261" s="63">
        <v>2021</v>
      </c>
    </row>
    <row r="262" spans="2:6" ht="15.75" thickBot="1" x14ac:dyDescent="0.3">
      <c r="B262" s="999"/>
      <c r="C262" s="64" t="s">
        <v>10</v>
      </c>
      <c r="D262" s="64" t="s">
        <v>11</v>
      </c>
      <c r="E262" s="64" t="s">
        <v>11</v>
      </c>
      <c r="F262" s="64" t="s">
        <v>11</v>
      </c>
    </row>
    <row r="263" spans="2:6" ht="15.75" thickBot="1" x14ac:dyDescent="0.3">
      <c r="B263" s="65" t="s">
        <v>58</v>
      </c>
      <c r="C263" s="161">
        <v>5000</v>
      </c>
      <c r="D263" s="161">
        <v>8000</v>
      </c>
      <c r="E263" s="161">
        <v>8000</v>
      </c>
      <c r="F263" s="164"/>
    </row>
    <row r="264" spans="2:6" ht="15.75" thickBot="1" x14ac:dyDescent="0.3">
      <c r="B264" s="65" t="s">
        <v>59</v>
      </c>
      <c r="C264" s="165"/>
      <c r="D264" s="164"/>
      <c r="E264" s="164"/>
      <c r="F264" s="164"/>
    </row>
    <row r="265" spans="2:6" ht="15.75" thickBot="1" x14ac:dyDescent="0.3">
      <c r="B265" s="66" t="s">
        <v>74</v>
      </c>
      <c r="C265" s="165">
        <f>C264+C263</f>
        <v>5000</v>
      </c>
      <c r="D265" s="165">
        <f t="shared" ref="D265:F265" si="28">D264+D263</f>
        <v>8000</v>
      </c>
      <c r="E265" s="165">
        <f t="shared" si="28"/>
        <v>8000</v>
      </c>
      <c r="F265" s="165">
        <f t="shared" si="28"/>
        <v>0</v>
      </c>
    </row>
    <row r="266" spans="2:6" x14ac:dyDescent="0.25">
      <c r="B266" s="1015" t="s">
        <v>62</v>
      </c>
      <c r="C266" s="1036"/>
      <c r="D266" s="1037"/>
      <c r="E266" s="1037"/>
      <c r="F266" s="1038"/>
    </row>
    <row r="267" spans="2:6" x14ac:dyDescent="0.25">
      <c r="B267" s="1016"/>
      <c r="C267" s="1039"/>
      <c r="D267" s="1040"/>
      <c r="E267" s="1040"/>
      <c r="F267" s="1041"/>
    </row>
    <row r="268" spans="2:6" ht="15.75" thickBot="1" x14ac:dyDescent="0.3">
      <c r="B268" s="1017"/>
      <c r="C268" s="1042"/>
      <c r="D268" s="1043"/>
      <c r="E268" s="1043"/>
      <c r="F268" s="1044"/>
    </row>
    <row r="269" spans="2:6" ht="72" customHeight="1" thickBot="1" x14ac:dyDescent="0.3">
      <c r="B269" s="158" t="s">
        <v>75</v>
      </c>
      <c r="C269" s="1007" t="s">
        <v>1465</v>
      </c>
      <c r="D269" s="1006"/>
      <c r="E269" s="1006"/>
      <c r="F269" s="1008"/>
    </row>
    <row r="270" spans="2:6" ht="15.75" thickBot="1" x14ac:dyDescent="0.3">
      <c r="B270" s="1069" t="s">
        <v>13</v>
      </c>
      <c r="C270" s="1070"/>
      <c r="D270" s="1070"/>
      <c r="E270" s="1070"/>
      <c r="F270" s="1071"/>
    </row>
    <row r="271" spans="2:6" ht="15.75" thickBot="1" x14ac:dyDescent="0.3">
      <c r="B271" s="643" t="s">
        <v>1466</v>
      </c>
      <c r="C271" s="658">
        <v>0.35</v>
      </c>
      <c r="D271" s="658">
        <v>0.55000000000000004</v>
      </c>
      <c r="E271" s="658">
        <v>0.8</v>
      </c>
      <c r="F271" s="658">
        <v>1</v>
      </c>
    </row>
    <row r="272" spans="2:6" ht="15.75" thickBot="1" x14ac:dyDescent="0.3">
      <c r="B272" s="989" t="s">
        <v>14</v>
      </c>
      <c r="C272" s="990"/>
      <c r="D272" s="990"/>
      <c r="E272" s="990"/>
      <c r="F272" s="991"/>
    </row>
    <row r="273" spans="2:6" ht="15.75" thickBot="1" x14ac:dyDescent="0.3">
      <c r="B273" s="989" t="s">
        <v>15</v>
      </c>
      <c r="C273" s="990"/>
      <c r="D273" s="990"/>
      <c r="E273" s="990"/>
      <c r="F273" s="991"/>
    </row>
    <row r="274" spans="2:6" ht="15.75" thickBot="1" x14ac:dyDescent="0.3">
      <c r="B274" s="160" t="s">
        <v>16</v>
      </c>
      <c r="C274" s="1384" t="s">
        <v>1467</v>
      </c>
      <c r="D274" s="1317"/>
      <c r="E274" s="1317"/>
      <c r="F274" s="1318"/>
    </row>
    <row r="275" spans="2:6" ht="15.75" thickBot="1" x14ac:dyDescent="0.3">
      <c r="B275" s="62" t="s">
        <v>17</v>
      </c>
      <c r="C275" s="1564" t="s">
        <v>1468</v>
      </c>
      <c r="D275" s="1565"/>
      <c r="E275" s="1565"/>
      <c r="F275" s="1566"/>
    </row>
    <row r="276" spans="2:6" ht="15.75" thickBot="1" x14ac:dyDescent="0.3">
      <c r="B276" s="62" t="s">
        <v>18</v>
      </c>
      <c r="C276" s="1553" t="s">
        <v>1469</v>
      </c>
      <c r="D276" s="1554"/>
      <c r="E276" s="1554"/>
      <c r="F276" s="1555"/>
    </row>
    <row r="277" spans="2:6" x14ac:dyDescent="0.25">
      <c r="B277" s="998"/>
      <c r="C277" s="63">
        <v>2018</v>
      </c>
      <c r="D277" s="63">
        <v>2019</v>
      </c>
      <c r="E277" s="63">
        <v>2020</v>
      </c>
      <c r="F277" s="63">
        <v>2021</v>
      </c>
    </row>
    <row r="278" spans="2:6" ht="15.75" thickBot="1" x14ac:dyDescent="0.3">
      <c r="B278" s="999"/>
      <c r="C278" s="64" t="s">
        <v>10</v>
      </c>
      <c r="D278" s="64" t="s">
        <v>11</v>
      </c>
      <c r="E278" s="64" t="s">
        <v>11</v>
      </c>
      <c r="F278" s="64" t="s">
        <v>11</v>
      </c>
    </row>
    <row r="279" spans="2:6" ht="15.75" thickBot="1" x14ac:dyDescent="0.3">
      <c r="B279" s="62" t="s">
        <v>19</v>
      </c>
      <c r="C279" s="686">
        <v>16</v>
      </c>
      <c r="D279" s="686">
        <v>5</v>
      </c>
      <c r="E279" s="686">
        <v>5</v>
      </c>
      <c r="F279" s="728"/>
    </row>
    <row r="280" spans="2:6" ht="15.75" thickBot="1" x14ac:dyDescent="0.3">
      <c r="B280" s="62" t="s">
        <v>20</v>
      </c>
      <c r="C280" s="161">
        <v>7489.5680000000002</v>
      </c>
      <c r="D280" s="161">
        <v>7489.5680000000002</v>
      </c>
      <c r="E280" s="161">
        <v>7489.5680000000002</v>
      </c>
      <c r="F280" s="161">
        <v>7489.5680000000002</v>
      </c>
    </row>
    <row r="281" spans="2:6" ht="15.75" thickBot="1" x14ac:dyDescent="0.3">
      <c r="B281" s="62" t="s">
        <v>21</v>
      </c>
      <c r="C281" s="161">
        <f>C280/C279</f>
        <v>468.09800000000001</v>
      </c>
      <c r="D281" s="161">
        <f t="shared" ref="D281:F281" si="29">D280/D279</f>
        <v>1497.9136000000001</v>
      </c>
      <c r="E281" s="161">
        <f t="shared" si="29"/>
        <v>1497.9136000000001</v>
      </c>
      <c r="F281" s="161" t="e">
        <f t="shared" si="29"/>
        <v>#DIV/0!</v>
      </c>
    </row>
    <row r="282" spans="2:6" ht="15.75" thickBot="1" x14ac:dyDescent="0.3">
      <c r="B282" s="62" t="s">
        <v>22</v>
      </c>
      <c r="C282" s="636" t="s">
        <v>23</v>
      </c>
      <c r="D282" s="162">
        <f>D279/C279-1</f>
        <v>-0.6875</v>
      </c>
      <c r="E282" s="162">
        <f t="shared" ref="E282:F284" si="30">E279/D279-1</f>
        <v>0</v>
      </c>
      <c r="F282" s="162">
        <f t="shared" si="30"/>
        <v>-1</v>
      </c>
    </row>
    <row r="283" spans="2:6" ht="15.75" thickBot="1" x14ac:dyDescent="0.3">
      <c r="B283" s="62" t="s">
        <v>24</v>
      </c>
      <c r="C283" s="636" t="s">
        <v>23</v>
      </c>
      <c r="D283" s="162">
        <f>D280/C280-1</f>
        <v>0</v>
      </c>
      <c r="E283" s="162">
        <f t="shared" si="30"/>
        <v>0</v>
      </c>
      <c r="F283" s="162">
        <f t="shared" si="30"/>
        <v>0</v>
      </c>
    </row>
    <row r="284" spans="2:6" ht="15.75" thickBot="1" x14ac:dyDescent="0.3">
      <c r="B284" s="62" t="s">
        <v>25</v>
      </c>
      <c r="C284" s="636" t="s">
        <v>23</v>
      </c>
      <c r="D284" s="162">
        <f>D281/C281-1</f>
        <v>2.2000000000000002</v>
      </c>
      <c r="E284" s="162">
        <f t="shared" si="30"/>
        <v>0</v>
      </c>
      <c r="F284" s="162" t="e">
        <f t="shared" si="30"/>
        <v>#DIV/0!</v>
      </c>
    </row>
    <row r="285" spans="2:6" ht="15.75" thickBot="1" x14ac:dyDescent="0.3">
      <c r="B285" s="1000" t="s">
        <v>784</v>
      </c>
      <c r="C285" s="1001"/>
      <c r="D285" s="1001"/>
      <c r="E285" s="1001"/>
      <c r="F285" s="1002"/>
    </row>
    <row r="286" spans="2:6" x14ac:dyDescent="0.25">
      <c r="B286" s="998"/>
      <c r="C286" s="63">
        <v>2018</v>
      </c>
      <c r="D286" s="63">
        <v>2019</v>
      </c>
      <c r="E286" s="63">
        <v>2020</v>
      </c>
      <c r="F286" s="63">
        <v>2021</v>
      </c>
    </row>
    <row r="287" spans="2:6" ht="15.75" thickBot="1" x14ac:dyDescent="0.3">
      <c r="B287" s="999"/>
      <c r="C287" s="64" t="s">
        <v>10</v>
      </c>
      <c r="D287" s="64" t="s">
        <v>11</v>
      </c>
      <c r="E287" s="64" t="s">
        <v>11</v>
      </c>
      <c r="F287" s="64" t="s">
        <v>11</v>
      </c>
    </row>
    <row r="288" spans="2:6" ht="15.75" thickBot="1" x14ac:dyDescent="0.3">
      <c r="B288" s="65" t="s">
        <v>26</v>
      </c>
      <c r="C288" s="161">
        <v>4704</v>
      </c>
      <c r="D288" s="161">
        <v>4704</v>
      </c>
      <c r="E288" s="161">
        <v>4704</v>
      </c>
      <c r="F288" s="161">
        <v>4704</v>
      </c>
    </row>
    <row r="289" spans="2:6" ht="30.75" thickBot="1" x14ac:dyDescent="0.3">
      <c r="B289" s="181" t="s">
        <v>27</v>
      </c>
      <c r="C289" s="161">
        <v>0</v>
      </c>
      <c r="D289" s="288"/>
      <c r="E289" s="288"/>
      <c r="F289" s="288"/>
    </row>
    <row r="290" spans="2:6" ht="30.75" thickBot="1" x14ac:dyDescent="0.3">
      <c r="B290" s="181" t="s">
        <v>817</v>
      </c>
      <c r="C290" s="161">
        <v>0</v>
      </c>
      <c r="D290" s="182"/>
      <c r="E290" s="182"/>
      <c r="F290" s="182"/>
    </row>
    <row r="291" spans="2:6" ht="15.75" thickBot="1" x14ac:dyDescent="0.3">
      <c r="B291" s="65" t="s">
        <v>28</v>
      </c>
      <c r="C291" s="164">
        <v>785.56799999999998</v>
      </c>
      <c r="D291" s="164">
        <v>785.56799999999998</v>
      </c>
      <c r="E291" s="164">
        <v>785.56799999999998</v>
      </c>
      <c r="F291" s="164">
        <v>785.56799999999998</v>
      </c>
    </row>
    <row r="292" spans="2:6" ht="30.75" thickBot="1" x14ac:dyDescent="0.3">
      <c r="B292" s="181" t="s">
        <v>29</v>
      </c>
      <c r="C292" s="165">
        <v>0</v>
      </c>
      <c r="D292" s="164"/>
      <c r="E292" s="164"/>
      <c r="F292" s="164"/>
    </row>
    <row r="293" spans="2:6" ht="30.75" thickBot="1" x14ac:dyDescent="0.3">
      <c r="B293" s="181" t="s">
        <v>818</v>
      </c>
      <c r="C293" s="165">
        <v>0</v>
      </c>
      <c r="D293" s="164"/>
      <c r="E293" s="164"/>
      <c r="F293" s="164"/>
    </row>
    <row r="294" spans="2:6" ht="15.75" thickBot="1" x14ac:dyDescent="0.3">
      <c r="B294" s="65" t="s">
        <v>30</v>
      </c>
      <c r="C294" s="165">
        <v>1000</v>
      </c>
      <c r="D294" s="165">
        <v>1000</v>
      </c>
      <c r="E294" s="165">
        <v>1000</v>
      </c>
      <c r="F294" s="165">
        <v>1000</v>
      </c>
    </row>
    <row r="295" spans="2:6" ht="30.75" thickBot="1" x14ac:dyDescent="0.3">
      <c r="B295" s="181" t="s">
        <v>31</v>
      </c>
      <c r="C295" s="165">
        <v>0</v>
      </c>
      <c r="D295" s="164"/>
      <c r="E295" s="164"/>
      <c r="F295" s="164"/>
    </row>
    <row r="296" spans="2:6" ht="30.75" thickBot="1" x14ac:dyDescent="0.3">
      <c r="B296" s="181" t="s">
        <v>819</v>
      </c>
      <c r="C296" s="165">
        <v>0</v>
      </c>
      <c r="D296" s="164"/>
      <c r="E296" s="164"/>
      <c r="F296" s="164"/>
    </row>
    <row r="297" spans="2:6" ht="15.75" thickBot="1" x14ac:dyDescent="0.3">
      <c r="B297" s="65" t="s">
        <v>32</v>
      </c>
      <c r="C297" s="165">
        <v>0</v>
      </c>
      <c r="D297" s="164"/>
      <c r="E297" s="164"/>
      <c r="F297" s="164"/>
    </row>
    <row r="298" spans="2:6" ht="30.75" thickBot="1" x14ac:dyDescent="0.3">
      <c r="B298" s="181" t="s">
        <v>33</v>
      </c>
      <c r="C298" s="165">
        <v>0</v>
      </c>
      <c r="D298" s="164"/>
      <c r="E298" s="164"/>
      <c r="F298" s="164"/>
    </row>
    <row r="299" spans="2:6" ht="30.75" thickBot="1" x14ac:dyDescent="0.3">
      <c r="B299" s="181" t="s">
        <v>820</v>
      </c>
      <c r="C299" s="165">
        <v>0</v>
      </c>
      <c r="D299" s="164"/>
      <c r="E299" s="164"/>
      <c r="F299" s="164"/>
    </row>
    <row r="300" spans="2:6" ht="15.75" thickBot="1" x14ac:dyDescent="0.3">
      <c r="B300" s="65" t="s">
        <v>34</v>
      </c>
      <c r="C300" s="165">
        <v>0</v>
      </c>
      <c r="D300" s="164"/>
      <c r="E300" s="164"/>
      <c r="F300" s="164"/>
    </row>
    <row r="301" spans="2:6" ht="30.75" thickBot="1" x14ac:dyDescent="0.3">
      <c r="B301" s="181" t="s">
        <v>35</v>
      </c>
      <c r="C301" s="165">
        <v>0</v>
      </c>
      <c r="D301" s="164"/>
      <c r="E301" s="164"/>
      <c r="F301" s="164"/>
    </row>
    <row r="302" spans="2:6" ht="30.75" thickBot="1" x14ac:dyDescent="0.3">
      <c r="B302" s="181" t="s">
        <v>821</v>
      </c>
      <c r="C302" s="165">
        <v>0</v>
      </c>
      <c r="D302" s="164"/>
      <c r="E302" s="164"/>
      <c r="F302" s="164"/>
    </row>
    <row r="303" spans="2:6" ht="15.75" thickBot="1" x14ac:dyDescent="0.3">
      <c r="B303" s="65" t="s">
        <v>36</v>
      </c>
      <c r="C303" s="165">
        <v>1000</v>
      </c>
      <c r="D303" s="165">
        <v>1000</v>
      </c>
      <c r="E303" s="165">
        <v>1000</v>
      </c>
      <c r="F303" s="165">
        <v>1000</v>
      </c>
    </row>
    <row r="304" spans="2:6" ht="30.75" thickBot="1" x14ac:dyDescent="0.3">
      <c r="B304" s="181" t="s">
        <v>37</v>
      </c>
      <c r="C304" s="165">
        <v>0</v>
      </c>
      <c r="D304" s="164"/>
      <c r="E304" s="164"/>
      <c r="F304" s="164"/>
    </row>
    <row r="305" spans="2:6" ht="30.75" thickBot="1" x14ac:dyDescent="0.3">
      <c r="B305" s="181" t="s">
        <v>822</v>
      </c>
      <c r="C305" s="165">
        <v>0</v>
      </c>
      <c r="D305" s="164"/>
      <c r="E305" s="164"/>
      <c r="F305" s="164"/>
    </row>
    <row r="306" spans="2:6" ht="15.75" thickBot="1" x14ac:dyDescent="0.3">
      <c r="B306" s="65" t="s">
        <v>38</v>
      </c>
      <c r="C306" s="165">
        <v>0</v>
      </c>
      <c r="D306" s="164"/>
      <c r="E306" s="164"/>
      <c r="F306" s="164"/>
    </row>
    <row r="307" spans="2:6" ht="30.75" thickBot="1" x14ac:dyDescent="0.3">
      <c r="B307" s="181" t="s">
        <v>39</v>
      </c>
      <c r="C307" s="165">
        <v>0</v>
      </c>
      <c r="D307" s="164"/>
      <c r="E307" s="164"/>
      <c r="F307" s="164"/>
    </row>
    <row r="308" spans="2:6" ht="30.75" thickBot="1" x14ac:dyDescent="0.3">
      <c r="B308" s="181" t="s">
        <v>823</v>
      </c>
      <c r="C308" s="165">
        <v>0</v>
      </c>
      <c r="D308" s="164"/>
      <c r="E308" s="164"/>
      <c r="F308" s="164"/>
    </row>
    <row r="309" spans="2:6" ht="15.75" thickBot="1" x14ac:dyDescent="0.3">
      <c r="B309" s="66" t="s">
        <v>40</v>
      </c>
      <c r="C309" s="165">
        <f>C306+C303+C300+C297+C294+C291+C288</f>
        <v>7489.5680000000002</v>
      </c>
      <c r="D309" s="165">
        <f t="shared" ref="D309:F309" si="31">D306+D303+D300+D297+D294+D291+D288</f>
        <v>7489.5680000000002</v>
      </c>
      <c r="E309" s="165">
        <f t="shared" si="31"/>
        <v>7489.5680000000002</v>
      </c>
      <c r="F309" s="165">
        <f t="shared" si="31"/>
        <v>7489.5680000000002</v>
      </c>
    </row>
    <row r="310" spans="2:6" x14ac:dyDescent="0.25">
      <c r="B310" s="1015" t="s">
        <v>785</v>
      </c>
      <c r="C310" s="1036"/>
      <c r="D310" s="1037"/>
      <c r="E310" s="1037"/>
      <c r="F310" s="1038"/>
    </row>
    <row r="311" spans="2:6" x14ac:dyDescent="0.25">
      <c r="B311" s="1016"/>
      <c r="C311" s="1039"/>
      <c r="D311" s="1040"/>
      <c r="E311" s="1040"/>
      <c r="F311" s="1041"/>
    </row>
    <row r="312" spans="2:6" ht="15.75" thickBot="1" x14ac:dyDescent="0.3">
      <c r="B312" s="1017"/>
      <c r="C312" s="1042"/>
      <c r="D312" s="1043"/>
      <c r="E312" s="1043"/>
      <c r="F312" s="1044"/>
    </row>
    <row r="313" spans="2:6" ht="15.75" thickBot="1" x14ac:dyDescent="0.3">
      <c r="B313" s="166" t="s">
        <v>41</v>
      </c>
      <c r="C313" s="167">
        <f>IF(C309-C280=0,0,"Error")</f>
        <v>0</v>
      </c>
      <c r="D313" s="167">
        <f>IF(D309-D280=0,0,"Error")</f>
        <v>0</v>
      </c>
      <c r="E313" s="167">
        <f>IF(E309-E280=0,0,"Error")</f>
        <v>0</v>
      </c>
      <c r="F313" s="167">
        <f>IF(F309-F280=0,0,"Error")</f>
        <v>0</v>
      </c>
    </row>
    <row r="314" spans="2:6" ht="15.75" thickBot="1" x14ac:dyDescent="0.3">
      <c r="B314" s="195" t="s">
        <v>791</v>
      </c>
      <c r="C314" s="1319" t="s">
        <v>1470</v>
      </c>
      <c r="D314" s="1316"/>
      <c r="E314" s="1316"/>
      <c r="F314" s="1320"/>
    </row>
    <row r="315" spans="2:6" ht="15.75" thickBot="1" x14ac:dyDescent="0.3">
      <c r="B315" s="62" t="s">
        <v>17</v>
      </c>
      <c r="C315" s="1564" t="s">
        <v>1471</v>
      </c>
      <c r="D315" s="1565"/>
      <c r="E315" s="1565"/>
      <c r="F315" s="1566"/>
    </row>
    <row r="316" spans="2:6" ht="15.75" thickBot="1" x14ac:dyDescent="0.3">
      <c r="B316" s="62" t="s">
        <v>18</v>
      </c>
      <c r="C316" s="1553" t="s">
        <v>1472</v>
      </c>
      <c r="D316" s="1554"/>
      <c r="E316" s="1554"/>
      <c r="F316" s="1555"/>
    </row>
    <row r="317" spans="2:6" ht="15.75" thickBot="1" x14ac:dyDescent="0.3">
      <c r="B317" s="62" t="s">
        <v>19</v>
      </c>
      <c r="C317" s="686">
        <v>2</v>
      </c>
      <c r="D317" s="686">
        <v>6</v>
      </c>
      <c r="E317" s="686">
        <v>4</v>
      </c>
      <c r="F317" s="686">
        <v>4</v>
      </c>
    </row>
    <row r="318" spans="2:6" x14ac:dyDescent="0.25">
      <c r="B318" s="998"/>
      <c r="C318" s="63">
        <v>2018</v>
      </c>
      <c r="D318" s="63">
        <v>2019</v>
      </c>
      <c r="E318" s="63">
        <v>2020</v>
      </c>
      <c r="F318" s="63">
        <v>2021</v>
      </c>
    </row>
    <row r="319" spans="2:6" ht="15.75" thickBot="1" x14ac:dyDescent="0.3">
      <c r="B319" s="999"/>
      <c r="C319" s="64" t="s">
        <v>10</v>
      </c>
      <c r="D319" s="64" t="s">
        <v>11</v>
      </c>
      <c r="E319" s="64" t="s">
        <v>11</v>
      </c>
      <c r="F319" s="64" t="s">
        <v>11</v>
      </c>
    </row>
    <row r="320" spans="2:6" ht="15.75" thickBot="1" x14ac:dyDescent="0.3">
      <c r="B320" s="62" t="s">
        <v>20</v>
      </c>
      <c r="C320" s="161">
        <v>5989.5680000000002</v>
      </c>
      <c r="D320" s="161">
        <v>5989.5680000000002</v>
      </c>
      <c r="E320" s="161">
        <v>5989.5680000000002</v>
      </c>
      <c r="F320" s="161">
        <v>5989.5680000000002</v>
      </c>
    </row>
    <row r="321" spans="2:6" ht="15.75" thickBot="1" x14ac:dyDescent="0.3">
      <c r="B321" s="62" t="s">
        <v>21</v>
      </c>
      <c r="C321" s="161">
        <f>C320/C317</f>
        <v>2994.7840000000001</v>
      </c>
      <c r="D321" s="161">
        <f>D320/D317</f>
        <v>998.26133333333337</v>
      </c>
      <c r="E321" s="161">
        <f>E320/E317</f>
        <v>1497.3920000000001</v>
      </c>
      <c r="F321" s="161">
        <f>F320/F317</f>
        <v>1497.3920000000001</v>
      </c>
    </row>
    <row r="322" spans="2:6" ht="15.75" thickBot="1" x14ac:dyDescent="0.3">
      <c r="B322" s="62" t="s">
        <v>22</v>
      </c>
      <c r="C322" s="636"/>
      <c r="D322" s="162">
        <f>D317/C317-1</f>
        <v>2</v>
      </c>
      <c r="E322" s="162">
        <f>E317/D317-1</f>
        <v>-0.33333333333333337</v>
      </c>
      <c r="F322" s="162">
        <f>F317/E317-1</f>
        <v>0</v>
      </c>
    </row>
    <row r="323" spans="2:6" ht="15.75" thickBot="1" x14ac:dyDescent="0.3">
      <c r="B323" s="62" t="s">
        <v>24</v>
      </c>
      <c r="C323" s="636"/>
      <c r="D323" s="162">
        <f>D320/C320-1</f>
        <v>0</v>
      </c>
      <c r="E323" s="162">
        <f t="shared" ref="E323:F324" si="32">E320/D320-1</f>
        <v>0</v>
      </c>
      <c r="F323" s="162">
        <f t="shared" si="32"/>
        <v>0</v>
      </c>
    </row>
    <row r="324" spans="2:6" ht="15.75" thickBot="1" x14ac:dyDescent="0.3">
      <c r="B324" s="62" t="s">
        <v>25</v>
      </c>
      <c r="C324" s="636"/>
      <c r="D324" s="162">
        <f>D321/C321-1</f>
        <v>-0.66666666666666674</v>
      </c>
      <c r="E324" s="162">
        <f t="shared" si="32"/>
        <v>0.5</v>
      </c>
      <c r="F324" s="162">
        <f t="shared" si="32"/>
        <v>0</v>
      </c>
    </row>
    <row r="325" spans="2:6" ht="15.75" thickBot="1" x14ac:dyDescent="0.3">
      <c r="B325" s="1000" t="s">
        <v>792</v>
      </c>
      <c r="C325" s="1001"/>
      <c r="D325" s="1001"/>
      <c r="E325" s="1001"/>
      <c r="F325" s="1002"/>
    </row>
    <row r="326" spans="2:6" x14ac:dyDescent="0.25">
      <c r="B326" s="998"/>
      <c r="C326" s="63">
        <v>2018</v>
      </c>
      <c r="D326" s="63">
        <v>2019</v>
      </c>
      <c r="E326" s="63">
        <v>2020</v>
      </c>
      <c r="F326" s="63">
        <v>2021</v>
      </c>
    </row>
    <row r="327" spans="2:6" ht="15.75" thickBot="1" x14ac:dyDescent="0.3">
      <c r="B327" s="999"/>
      <c r="C327" s="64" t="s">
        <v>10</v>
      </c>
      <c r="D327" s="64" t="s">
        <v>11</v>
      </c>
      <c r="E327" s="64" t="s">
        <v>11</v>
      </c>
      <c r="F327" s="64" t="s">
        <v>11</v>
      </c>
    </row>
    <row r="328" spans="2:6" ht="15.75" thickBot="1" x14ac:dyDescent="0.3">
      <c r="B328" s="65" t="s">
        <v>26</v>
      </c>
      <c r="C328" s="164">
        <v>4704</v>
      </c>
      <c r="D328" s="164">
        <v>4704</v>
      </c>
      <c r="E328" s="164">
        <v>4704</v>
      </c>
      <c r="F328" s="164">
        <v>4704</v>
      </c>
    </row>
    <row r="329" spans="2:6" ht="30.75" thickBot="1" x14ac:dyDescent="0.3">
      <c r="B329" s="181" t="s">
        <v>27</v>
      </c>
      <c r="C329" s="165"/>
      <c r="D329" s="182"/>
      <c r="E329" s="182"/>
      <c r="F329" s="182"/>
    </row>
    <row r="330" spans="2:6" ht="30.75" thickBot="1" x14ac:dyDescent="0.3">
      <c r="B330" s="181" t="s">
        <v>45</v>
      </c>
      <c r="C330" s="165"/>
      <c r="D330" s="182"/>
      <c r="E330" s="182"/>
      <c r="F330" s="182"/>
    </row>
    <row r="331" spans="2:6" ht="15.75" thickBot="1" x14ac:dyDescent="0.3">
      <c r="B331" s="65" t="s">
        <v>28</v>
      </c>
      <c r="C331" s="164">
        <v>785.56799999999998</v>
      </c>
      <c r="D331" s="164">
        <v>785.56799999999998</v>
      </c>
      <c r="E331" s="164">
        <v>785.56799999999998</v>
      </c>
      <c r="F331" s="164">
        <v>785.56799999999998</v>
      </c>
    </row>
    <row r="332" spans="2:6" ht="30.75" thickBot="1" x14ac:dyDescent="0.3">
      <c r="B332" s="181" t="s">
        <v>29</v>
      </c>
      <c r="C332" s="165"/>
      <c r="D332" s="164"/>
      <c r="E332" s="164"/>
      <c r="F332" s="164"/>
    </row>
    <row r="333" spans="2:6" ht="30.75" thickBot="1" x14ac:dyDescent="0.3">
      <c r="B333" s="181" t="s">
        <v>46</v>
      </c>
      <c r="C333" s="165"/>
      <c r="D333" s="164"/>
      <c r="E333" s="164"/>
      <c r="F333" s="164"/>
    </row>
    <row r="334" spans="2:6" ht="15.75" thickBot="1" x14ac:dyDescent="0.3">
      <c r="B334" s="65" t="s">
        <v>30</v>
      </c>
      <c r="C334" s="165">
        <v>500</v>
      </c>
      <c r="D334" s="165">
        <v>500</v>
      </c>
      <c r="E334" s="165">
        <v>500</v>
      </c>
      <c r="F334" s="165">
        <v>500</v>
      </c>
    </row>
    <row r="335" spans="2:6" ht="30.75" thickBot="1" x14ac:dyDescent="0.3">
      <c r="B335" s="181" t="s">
        <v>31</v>
      </c>
      <c r="C335" s="165"/>
      <c r="D335" s="164"/>
      <c r="E335" s="164"/>
      <c r="F335" s="164"/>
    </row>
    <row r="336" spans="2:6" ht="30.75" thickBot="1" x14ac:dyDescent="0.3">
      <c r="B336" s="181" t="s">
        <v>47</v>
      </c>
      <c r="C336" s="165"/>
      <c r="D336" s="164"/>
      <c r="E336" s="164"/>
      <c r="F336" s="164"/>
    </row>
    <row r="337" spans="2:6" ht="15.75" thickBot="1" x14ac:dyDescent="0.3">
      <c r="B337" s="65" t="s">
        <v>32</v>
      </c>
      <c r="C337" s="165"/>
      <c r="D337" s="164"/>
      <c r="E337" s="164"/>
      <c r="F337" s="164"/>
    </row>
    <row r="338" spans="2:6" ht="30.75" thickBot="1" x14ac:dyDescent="0.3">
      <c r="B338" s="181" t="s">
        <v>33</v>
      </c>
      <c r="C338" s="165"/>
      <c r="D338" s="164"/>
      <c r="E338" s="164"/>
      <c r="F338" s="164"/>
    </row>
    <row r="339" spans="2:6" ht="30.75" thickBot="1" x14ac:dyDescent="0.3">
      <c r="B339" s="181" t="s">
        <v>48</v>
      </c>
      <c r="C339" s="165"/>
      <c r="D339" s="164"/>
      <c r="E339" s="164"/>
      <c r="F339" s="164"/>
    </row>
    <row r="340" spans="2:6" ht="15.75" thickBot="1" x14ac:dyDescent="0.3">
      <c r="B340" s="65" t="s">
        <v>34</v>
      </c>
      <c r="C340" s="165"/>
      <c r="D340" s="164"/>
      <c r="E340" s="164"/>
      <c r="F340" s="164"/>
    </row>
    <row r="341" spans="2:6" ht="30.75" thickBot="1" x14ac:dyDescent="0.3">
      <c r="B341" s="181" t="s">
        <v>35</v>
      </c>
      <c r="C341" s="165"/>
      <c r="D341" s="164"/>
      <c r="E341" s="164"/>
      <c r="F341" s="164"/>
    </row>
    <row r="342" spans="2:6" ht="30.75" thickBot="1" x14ac:dyDescent="0.3">
      <c r="B342" s="181" t="s">
        <v>49</v>
      </c>
      <c r="C342" s="165"/>
      <c r="D342" s="164"/>
      <c r="E342" s="164"/>
      <c r="F342" s="164"/>
    </row>
    <row r="343" spans="2:6" ht="15.75" thickBot="1" x14ac:dyDescent="0.3">
      <c r="B343" s="65" t="s">
        <v>36</v>
      </c>
      <c r="C343" s="165"/>
      <c r="D343" s="164"/>
      <c r="E343" s="164"/>
      <c r="F343" s="164"/>
    </row>
    <row r="344" spans="2:6" ht="30.75" thickBot="1" x14ac:dyDescent="0.3">
      <c r="B344" s="181" t="s">
        <v>37</v>
      </c>
      <c r="C344" s="165"/>
      <c r="D344" s="164"/>
      <c r="E344" s="164"/>
      <c r="F344" s="164"/>
    </row>
    <row r="345" spans="2:6" ht="30.75" thickBot="1" x14ac:dyDescent="0.3">
      <c r="B345" s="181" t="s">
        <v>50</v>
      </c>
      <c r="C345" s="165"/>
      <c r="D345" s="164"/>
      <c r="E345" s="164"/>
      <c r="F345" s="164"/>
    </row>
    <row r="346" spans="2:6" ht="15.75" thickBot="1" x14ac:dyDescent="0.3">
      <c r="B346" s="65" t="s">
        <v>38</v>
      </c>
      <c r="C346" s="165"/>
      <c r="D346" s="164"/>
      <c r="E346" s="164"/>
      <c r="F346" s="164"/>
    </row>
    <row r="347" spans="2:6" ht="30.75" thickBot="1" x14ac:dyDescent="0.3">
      <c r="B347" s="181" t="s">
        <v>39</v>
      </c>
      <c r="C347" s="165"/>
      <c r="D347" s="164"/>
      <c r="E347" s="164"/>
      <c r="F347" s="164"/>
    </row>
    <row r="348" spans="2:6" ht="30.75" thickBot="1" x14ac:dyDescent="0.3">
      <c r="B348" s="181" t="s">
        <v>51</v>
      </c>
      <c r="C348" s="165"/>
      <c r="D348" s="164"/>
      <c r="E348" s="164"/>
      <c r="F348" s="164"/>
    </row>
    <row r="349" spans="2:6" ht="15.75" thickBot="1" x14ac:dyDescent="0.3">
      <c r="B349" s="196" t="s">
        <v>74</v>
      </c>
      <c r="C349" s="165">
        <f>C346+C343+C340+C337+C334+C331+C328</f>
        <v>5989.5680000000002</v>
      </c>
      <c r="D349" s="165">
        <f t="shared" ref="D349:F349" si="33">D346+D343+D340+D337+D334+D331+D328</f>
        <v>5989.5680000000002</v>
      </c>
      <c r="E349" s="165">
        <f t="shared" si="33"/>
        <v>5989.5680000000002</v>
      </c>
      <c r="F349" s="165">
        <f t="shared" si="33"/>
        <v>5989.5680000000002</v>
      </c>
    </row>
    <row r="350" spans="2:6" x14ac:dyDescent="0.25">
      <c r="B350" s="1015" t="s">
        <v>120</v>
      </c>
      <c r="C350" s="1037"/>
      <c r="D350" s="1037"/>
      <c r="E350" s="1037"/>
      <c r="F350" s="1038"/>
    </row>
    <row r="351" spans="2:6" x14ac:dyDescent="0.25">
      <c r="B351" s="1016"/>
      <c r="C351" s="1040"/>
      <c r="D351" s="1040"/>
      <c r="E351" s="1040"/>
      <c r="F351" s="1041"/>
    </row>
    <row r="352" spans="2:6" ht="15.75" thickBot="1" x14ac:dyDescent="0.3">
      <c r="B352" s="1017"/>
      <c r="C352" s="1043"/>
      <c r="D352" s="1043"/>
      <c r="E352" s="1043"/>
      <c r="F352" s="1044"/>
    </row>
    <row r="353" spans="2:6" ht="15.75" thickBot="1" x14ac:dyDescent="0.3">
      <c r="B353" s="166" t="s">
        <v>41</v>
      </c>
      <c r="C353" s="167">
        <f>IF(C349-C320=0,0,"Error")</f>
        <v>0</v>
      </c>
      <c r="D353" s="167">
        <f>IF(D349-D320=0,0,"Error")</f>
        <v>0</v>
      </c>
      <c r="E353" s="167">
        <f>IF(E349-E320=0,0,"Error")</f>
        <v>0</v>
      </c>
      <c r="F353" s="167">
        <f>IF(F349-F320=0,0,"Error")</f>
        <v>0</v>
      </c>
    </row>
    <row r="354" spans="2:6" ht="74.25" customHeight="1" thickBot="1" x14ac:dyDescent="0.3">
      <c r="B354" s="158" t="s">
        <v>78</v>
      </c>
      <c r="C354" s="1007" t="s">
        <v>1473</v>
      </c>
      <c r="D354" s="1006"/>
      <c r="E354" s="1006"/>
      <c r="F354" s="1008"/>
    </row>
    <row r="355" spans="2:6" ht="15.75" thickBot="1" x14ac:dyDescent="0.3">
      <c r="B355" s="1069" t="s">
        <v>68</v>
      </c>
      <c r="C355" s="1070"/>
      <c r="D355" s="1070"/>
      <c r="E355" s="1070"/>
      <c r="F355" s="1071"/>
    </row>
    <row r="356" spans="2:6" ht="15.75" thickBot="1" x14ac:dyDescent="0.3">
      <c r="B356" s="643" t="s">
        <v>1474</v>
      </c>
      <c r="C356" s="658" t="s">
        <v>116</v>
      </c>
      <c r="D356" s="658" t="s">
        <v>117</v>
      </c>
      <c r="E356" s="658" t="s">
        <v>117</v>
      </c>
      <c r="F356" s="658" t="s">
        <v>117</v>
      </c>
    </row>
    <row r="357" spans="2:6" ht="15.75" thickBot="1" x14ac:dyDescent="0.3">
      <c r="B357" s="1027" t="s">
        <v>69</v>
      </c>
      <c r="C357" s="1028"/>
      <c r="D357" s="1028"/>
      <c r="E357" s="1028"/>
      <c r="F357" s="1029"/>
    </row>
    <row r="358" spans="2:6" ht="15.75" thickBot="1" x14ac:dyDescent="0.3">
      <c r="B358" s="1030" t="s">
        <v>70</v>
      </c>
      <c r="C358" s="1031"/>
      <c r="D358" s="1031"/>
      <c r="E358" s="1031"/>
      <c r="F358" s="1032"/>
    </row>
    <row r="359" spans="2:6" x14ac:dyDescent="0.25">
      <c r="B359" s="998"/>
      <c r="C359" s="63">
        <v>2018</v>
      </c>
      <c r="D359" s="63">
        <v>2019</v>
      </c>
      <c r="E359" s="63">
        <v>2020</v>
      </c>
      <c r="F359" s="63">
        <v>2021</v>
      </c>
    </row>
    <row r="360" spans="2:6" ht="15.75" thickBot="1" x14ac:dyDescent="0.3">
      <c r="B360" s="999"/>
      <c r="C360" s="64" t="s">
        <v>10</v>
      </c>
      <c r="D360" s="64" t="s">
        <v>11</v>
      </c>
      <c r="E360" s="64" t="s">
        <v>11</v>
      </c>
      <c r="F360" s="64" t="s">
        <v>11</v>
      </c>
    </row>
    <row r="361" spans="2:6" ht="61.5" customHeight="1" thickBot="1" x14ac:dyDescent="0.3">
      <c r="B361" s="160" t="s">
        <v>16</v>
      </c>
      <c r="C361" s="1319" t="s">
        <v>1475</v>
      </c>
      <c r="D361" s="1316"/>
      <c r="E361" s="1316"/>
      <c r="F361" s="1320"/>
    </row>
    <row r="362" spans="2:6" ht="132" customHeight="1" thickBot="1" x14ac:dyDescent="0.3">
      <c r="B362" s="62" t="s">
        <v>17</v>
      </c>
      <c r="C362" s="1564" t="s">
        <v>1476</v>
      </c>
      <c r="D362" s="1565"/>
      <c r="E362" s="1565"/>
      <c r="F362" s="1566"/>
    </row>
    <row r="363" spans="2:6" ht="15.75" thickBot="1" x14ac:dyDescent="0.3">
      <c r="B363" s="62" t="s">
        <v>18</v>
      </c>
      <c r="C363" s="1553" t="s">
        <v>1477</v>
      </c>
      <c r="D363" s="1554"/>
      <c r="E363" s="1554"/>
      <c r="F363" s="1555"/>
    </row>
    <row r="364" spans="2:6" x14ac:dyDescent="0.25">
      <c r="B364" s="998"/>
      <c r="C364" s="63">
        <v>2018</v>
      </c>
      <c r="D364" s="63">
        <v>2019</v>
      </c>
      <c r="E364" s="63">
        <v>2020</v>
      </c>
      <c r="F364" s="63">
        <v>2021</v>
      </c>
    </row>
    <row r="365" spans="2:6" ht="15.75" thickBot="1" x14ac:dyDescent="0.3">
      <c r="B365" s="999"/>
      <c r="C365" s="64" t="s">
        <v>10</v>
      </c>
      <c r="D365" s="64" t="s">
        <v>11</v>
      </c>
      <c r="E365" s="64" t="s">
        <v>11</v>
      </c>
      <c r="F365" s="64" t="s">
        <v>11</v>
      </c>
    </row>
    <row r="366" spans="2:6" ht="15.75" thickBot="1" x14ac:dyDescent="0.3">
      <c r="B366" s="229" t="s">
        <v>19</v>
      </c>
      <c r="C366" s="194"/>
      <c r="D366" s="236"/>
      <c r="E366" s="236"/>
      <c r="F366" s="236"/>
    </row>
    <row r="367" spans="2:6" ht="15.75" thickBot="1" x14ac:dyDescent="0.3">
      <c r="B367" s="62" t="s">
        <v>20</v>
      </c>
      <c r="C367" s="161">
        <v>30394.008000000002</v>
      </c>
      <c r="D367" s="161">
        <v>27394.008000000002</v>
      </c>
      <c r="E367" s="161">
        <v>27394.008000000002</v>
      </c>
      <c r="F367" s="161">
        <v>27394.008000000002</v>
      </c>
    </row>
    <row r="368" spans="2:6" ht="15.75" thickBot="1" x14ac:dyDescent="0.3">
      <c r="B368" s="62" t="s">
        <v>21</v>
      </c>
      <c r="C368" s="161" t="e">
        <f>C367/C366</f>
        <v>#DIV/0!</v>
      </c>
      <c r="D368" s="161" t="e">
        <f t="shared" ref="D368:F368" si="34">D367/D366</f>
        <v>#DIV/0!</v>
      </c>
      <c r="E368" s="161" t="e">
        <f t="shared" si="34"/>
        <v>#DIV/0!</v>
      </c>
      <c r="F368" s="161" t="e">
        <f t="shared" si="34"/>
        <v>#DIV/0!</v>
      </c>
    </row>
    <row r="369" spans="2:6" ht="15.75" thickBot="1" x14ac:dyDescent="0.3">
      <c r="B369" s="62" t="s">
        <v>22</v>
      </c>
      <c r="C369" s="636"/>
      <c r="D369" s="162" t="e">
        <f>D366/C366-1</f>
        <v>#DIV/0!</v>
      </c>
      <c r="E369" s="162" t="e">
        <f t="shared" ref="E369:F371" si="35">E366/D366-1</f>
        <v>#DIV/0!</v>
      </c>
      <c r="F369" s="162" t="e">
        <f t="shared" si="35"/>
        <v>#DIV/0!</v>
      </c>
    </row>
    <row r="370" spans="2:6" ht="15.75" thickBot="1" x14ac:dyDescent="0.3">
      <c r="B370" s="62" t="s">
        <v>24</v>
      </c>
      <c r="C370" s="636"/>
      <c r="D370" s="162">
        <f>D367/C367-1</f>
        <v>-9.8703665538286356E-2</v>
      </c>
      <c r="E370" s="162">
        <f t="shared" si="35"/>
        <v>0</v>
      </c>
      <c r="F370" s="162">
        <f t="shared" si="35"/>
        <v>0</v>
      </c>
    </row>
    <row r="371" spans="2:6" ht="15.75" thickBot="1" x14ac:dyDescent="0.3">
      <c r="B371" s="62" t="s">
        <v>25</v>
      </c>
      <c r="C371" s="636"/>
      <c r="D371" s="162" t="e">
        <f>D368/C368-1</f>
        <v>#DIV/0!</v>
      </c>
      <c r="E371" s="162" t="e">
        <f t="shared" si="35"/>
        <v>#DIV/0!</v>
      </c>
      <c r="F371" s="162" t="e">
        <f t="shared" si="35"/>
        <v>#DIV/0!</v>
      </c>
    </row>
    <row r="372" spans="2:6" x14ac:dyDescent="0.25">
      <c r="B372" s="998"/>
      <c r="C372" s="63">
        <v>2018</v>
      </c>
      <c r="D372" s="63">
        <v>2019</v>
      </c>
      <c r="E372" s="63">
        <v>2020</v>
      </c>
      <c r="F372" s="63">
        <v>2021</v>
      </c>
    </row>
    <row r="373" spans="2:6" ht="15.75" thickBot="1" x14ac:dyDescent="0.3">
      <c r="B373" s="999"/>
      <c r="C373" s="64" t="s">
        <v>10</v>
      </c>
      <c r="D373" s="64" t="s">
        <v>11</v>
      </c>
      <c r="E373" s="64" t="s">
        <v>11</v>
      </c>
      <c r="F373" s="64" t="s">
        <v>11</v>
      </c>
    </row>
    <row r="374" spans="2:6" ht="15.75" thickBot="1" x14ac:dyDescent="0.3">
      <c r="B374" s="1000" t="s">
        <v>794</v>
      </c>
      <c r="C374" s="1001"/>
      <c r="D374" s="1001"/>
      <c r="E374" s="1001"/>
      <c r="F374" s="1002"/>
    </row>
    <row r="375" spans="2:6" x14ac:dyDescent="0.25">
      <c r="B375" s="998"/>
      <c r="C375" s="63">
        <v>2018</v>
      </c>
      <c r="D375" s="63">
        <v>2019</v>
      </c>
      <c r="E375" s="63">
        <v>2020</v>
      </c>
      <c r="F375" s="63">
        <v>2021</v>
      </c>
    </row>
    <row r="376" spans="2:6" ht="15.75" thickBot="1" x14ac:dyDescent="0.3">
      <c r="B376" s="999"/>
      <c r="C376" s="64" t="s">
        <v>10</v>
      </c>
      <c r="D376" s="64" t="s">
        <v>11</v>
      </c>
      <c r="E376" s="64" t="s">
        <v>11</v>
      </c>
      <c r="F376" s="64" t="s">
        <v>11</v>
      </c>
    </row>
    <row r="377" spans="2:6" ht="15.75" thickBot="1" x14ac:dyDescent="0.3">
      <c r="B377" s="65" t="s">
        <v>26</v>
      </c>
      <c r="C377" s="164">
        <f>8616+9408-640</f>
        <v>17384</v>
      </c>
      <c r="D377" s="164">
        <f t="shared" ref="D377:F377" si="36">8616+9408-640</f>
        <v>17384</v>
      </c>
      <c r="E377" s="164">
        <f t="shared" si="36"/>
        <v>17384</v>
      </c>
      <c r="F377" s="164">
        <f t="shared" si="36"/>
        <v>17384</v>
      </c>
    </row>
    <row r="378" spans="2:6" ht="30.75" thickBot="1" x14ac:dyDescent="0.3">
      <c r="B378" s="181" t="s">
        <v>27</v>
      </c>
      <c r="C378" s="165"/>
      <c r="D378" s="182"/>
      <c r="E378" s="182"/>
      <c r="F378" s="182"/>
    </row>
    <row r="379" spans="2:6" ht="30.75" thickBot="1" x14ac:dyDescent="0.3">
      <c r="B379" s="181" t="s">
        <v>45</v>
      </c>
      <c r="C379" s="165"/>
      <c r="D379" s="182"/>
      <c r="E379" s="182"/>
      <c r="F379" s="182"/>
    </row>
    <row r="380" spans="2:6" ht="15.75" thickBot="1" x14ac:dyDescent="0.3">
      <c r="B380" s="65" t="s">
        <v>28</v>
      </c>
      <c r="C380" s="164">
        <f>1438.872+1571.136</f>
        <v>3010.0079999999998</v>
      </c>
      <c r="D380" s="164">
        <f t="shared" ref="D380:F380" si="37">1438.872+1571.136</f>
        <v>3010.0079999999998</v>
      </c>
      <c r="E380" s="164">
        <f t="shared" si="37"/>
        <v>3010.0079999999998</v>
      </c>
      <c r="F380" s="164">
        <f t="shared" si="37"/>
        <v>3010.0079999999998</v>
      </c>
    </row>
    <row r="381" spans="2:6" ht="30.75" thickBot="1" x14ac:dyDescent="0.3">
      <c r="B381" s="181" t="s">
        <v>29</v>
      </c>
      <c r="C381" s="165"/>
      <c r="D381" s="164"/>
      <c r="E381" s="164"/>
      <c r="F381" s="164"/>
    </row>
    <row r="382" spans="2:6" ht="30.75" thickBot="1" x14ac:dyDescent="0.3">
      <c r="B382" s="181" t="s">
        <v>46</v>
      </c>
      <c r="C382" s="165"/>
      <c r="D382" s="164"/>
      <c r="E382" s="164"/>
      <c r="F382" s="164"/>
    </row>
    <row r="383" spans="2:6" ht="15.75" thickBot="1" x14ac:dyDescent="0.3">
      <c r="B383" s="65" t="s">
        <v>30</v>
      </c>
      <c r="C383" s="165">
        <v>10000</v>
      </c>
      <c r="D383" s="165">
        <v>7000</v>
      </c>
      <c r="E383" s="165">
        <v>7000</v>
      </c>
      <c r="F383" s="165">
        <v>7000</v>
      </c>
    </row>
    <row r="384" spans="2:6" ht="30.75" thickBot="1" x14ac:dyDescent="0.3">
      <c r="B384" s="181" t="s">
        <v>31</v>
      </c>
      <c r="C384" s="165"/>
      <c r="D384" s="164"/>
      <c r="E384" s="164"/>
      <c r="F384" s="164"/>
    </row>
    <row r="385" spans="2:6" ht="30.75" thickBot="1" x14ac:dyDescent="0.3">
      <c r="B385" s="181" t="s">
        <v>47</v>
      </c>
      <c r="C385" s="165"/>
      <c r="D385" s="164"/>
      <c r="E385" s="164"/>
      <c r="F385" s="164"/>
    </row>
    <row r="386" spans="2:6" ht="15.75" thickBot="1" x14ac:dyDescent="0.3">
      <c r="B386" s="65" t="s">
        <v>32</v>
      </c>
      <c r="C386" s="165"/>
      <c r="D386" s="164"/>
      <c r="E386" s="164"/>
      <c r="F386" s="164"/>
    </row>
    <row r="387" spans="2:6" ht="30.75" thickBot="1" x14ac:dyDescent="0.3">
      <c r="B387" s="181" t="s">
        <v>33</v>
      </c>
      <c r="C387" s="165"/>
      <c r="D387" s="164"/>
      <c r="E387" s="164"/>
      <c r="F387" s="164"/>
    </row>
    <row r="388" spans="2:6" ht="30.75" thickBot="1" x14ac:dyDescent="0.3">
      <c r="B388" s="181" t="s">
        <v>48</v>
      </c>
      <c r="C388" s="165"/>
      <c r="D388" s="164"/>
      <c r="E388" s="164"/>
      <c r="F388" s="164"/>
    </row>
    <row r="389" spans="2:6" ht="15.75" thickBot="1" x14ac:dyDescent="0.3">
      <c r="B389" s="65" t="s">
        <v>34</v>
      </c>
      <c r="C389" s="165"/>
      <c r="D389" s="164"/>
      <c r="E389" s="164"/>
      <c r="F389" s="164"/>
    </row>
    <row r="390" spans="2:6" ht="30.75" thickBot="1" x14ac:dyDescent="0.3">
      <c r="B390" s="181" t="s">
        <v>35</v>
      </c>
      <c r="C390" s="165"/>
      <c r="D390" s="164"/>
      <c r="E390" s="164"/>
      <c r="F390" s="164"/>
    </row>
    <row r="391" spans="2:6" ht="30.75" thickBot="1" x14ac:dyDescent="0.3">
      <c r="B391" s="181" t="s">
        <v>49</v>
      </c>
      <c r="C391" s="165"/>
      <c r="D391" s="164"/>
      <c r="E391" s="164"/>
      <c r="F391" s="164"/>
    </row>
    <row r="392" spans="2:6" ht="15.75" thickBot="1" x14ac:dyDescent="0.3">
      <c r="B392" s="65" t="s">
        <v>36</v>
      </c>
      <c r="C392" s="165"/>
      <c r="D392" s="164"/>
      <c r="E392" s="164"/>
      <c r="F392" s="164"/>
    </row>
    <row r="393" spans="2:6" ht="30.75" thickBot="1" x14ac:dyDescent="0.3">
      <c r="B393" s="181" t="s">
        <v>37</v>
      </c>
      <c r="C393" s="165"/>
      <c r="D393" s="164"/>
      <c r="E393" s="164"/>
      <c r="F393" s="164"/>
    </row>
    <row r="394" spans="2:6" ht="30.75" thickBot="1" x14ac:dyDescent="0.3">
      <c r="B394" s="181" t="s">
        <v>50</v>
      </c>
      <c r="C394" s="165"/>
      <c r="D394" s="164"/>
      <c r="E394" s="164"/>
      <c r="F394" s="164"/>
    </row>
    <row r="395" spans="2:6" ht="15.75" thickBot="1" x14ac:dyDescent="0.3">
      <c r="B395" s="65" t="s">
        <v>38</v>
      </c>
      <c r="C395" s="165"/>
      <c r="D395" s="164"/>
      <c r="E395" s="164"/>
      <c r="F395" s="164"/>
    </row>
    <row r="396" spans="2:6" ht="30.75" thickBot="1" x14ac:dyDescent="0.3">
      <c r="B396" s="181" t="s">
        <v>39</v>
      </c>
      <c r="C396" s="165"/>
      <c r="D396" s="164"/>
      <c r="E396" s="164"/>
      <c r="F396" s="164"/>
    </row>
    <row r="397" spans="2:6" ht="30.75" thickBot="1" x14ac:dyDescent="0.3">
      <c r="B397" s="181" t="s">
        <v>51</v>
      </c>
      <c r="C397" s="165"/>
      <c r="D397" s="164"/>
      <c r="E397" s="164"/>
      <c r="F397" s="164"/>
    </row>
    <row r="398" spans="2:6" ht="15.75" thickBot="1" x14ac:dyDescent="0.3">
      <c r="B398" s="204" t="s">
        <v>71</v>
      </c>
      <c r="C398" s="205">
        <f>C395+C392+C389+C386+C383+C380+C377</f>
        <v>30394.008000000002</v>
      </c>
      <c r="D398" s="205">
        <f t="shared" ref="D398:F398" si="38">D395+D392+D389+D386+D383+D380+D377</f>
        <v>27394.008000000002</v>
      </c>
      <c r="E398" s="205">
        <f t="shared" si="38"/>
        <v>27394.008000000002</v>
      </c>
      <c r="F398" s="205">
        <f t="shared" si="38"/>
        <v>27394.008000000002</v>
      </c>
    </row>
    <row r="399" spans="2:6" x14ac:dyDescent="0.25">
      <c r="B399" s="1015" t="s">
        <v>119</v>
      </c>
      <c r="C399" s="1037" t="s">
        <v>23</v>
      </c>
      <c r="D399" s="1037"/>
      <c r="E399" s="1037"/>
      <c r="F399" s="1038"/>
    </row>
    <row r="400" spans="2:6" x14ac:dyDescent="0.25">
      <c r="B400" s="1016"/>
      <c r="C400" s="1040"/>
      <c r="D400" s="1040"/>
      <c r="E400" s="1040"/>
      <c r="F400" s="1041"/>
    </row>
    <row r="401" spans="2:6" ht="15.75" thickBot="1" x14ac:dyDescent="0.3">
      <c r="B401" s="1017"/>
      <c r="C401" s="1043"/>
      <c r="D401" s="1043"/>
      <c r="E401" s="1043"/>
      <c r="F401" s="1044"/>
    </row>
    <row r="402" spans="2:6" ht="15.75" thickBot="1" x14ac:dyDescent="0.3">
      <c r="B402" s="166" t="s">
        <v>41</v>
      </c>
      <c r="C402" s="167">
        <f>IF(C398-C367=0,0,"Error")</f>
        <v>0</v>
      </c>
      <c r="D402" s="167">
        <f>IF(D398-D367=0,0,"Error")</f>
        <v>0</v>
      </c>
      <c r="E402" s="167">
        <f>IF(E398-E367=0,0,"Error")</f>
        <v>0</v>
      </c>
      <c r="F402" s="167">
        <f>IF(F398-F367=0,0,"Error")</f>
        <v>0</v>
      </c>
    </row>
    <row r="403" spans="2:6" ht="15.75" thickBot="1" x14ac:dyDescent="0.3">
      <c r="B403" s="989" t="s">
        <v>63</v>
      </c>
      <c r="C403" s="990"/>
      <c r="D403" s="990"/>
      <c r="E403" s="990"/>
      <c r="F403" s="991"/>
    </row>
    <row r="404" spans="2:6" ht="15.75" thickBot="1" x14ac:dyDescent="0.3">
      <c r="B404" s="989" t="s">
        <v>64</v>
      </c>
      <c r="C404" s="990"/>
      <c r="D404" s="990"/>
      <c r="E404" s="990"/>
      <c r="F404" s="991"/>
    </row>
    <row r="405" spans="2:6" ht="15.75" thickBot="1" x14ac:dyDescent="0.3">
      <c r="B405" s="67" t="s">
        <v>1478</v>
      </c>
      <c r="C405" s="1009" t="s">
        <v>1479</v>
      </c>
      <c r="D405" s="1010"/>
      <c r="E405" s="1010"/>
      <c r="F405" s="1011"/>
    </row>
    <row r="406" spans="2:6" ht="15.75" thickBot="1" x14ac:dyDescent="0.3">
      <c r="B406" s="160" t="s">
        <v>129</v>
      </c>
      <c r="C406" s="1007" t="s">
        <v>1480</v>
      </c>
      <c r="D406" s="1006"/>
      <c r="E406" s="1006"/>
      <c r="F406" s="1008"/>
    </row>
    <row r="407" spans="2:6" ht="15.75" thickBot="1" x14ac:dyDescent="0.3">
      <c r="B407" s="62" t="s">
        <v>17</v>
      </c>
      <c r="C407" s="1007" t="s">
        <v>1480</v>
      </c>
      <c r="D407" s="1006"/>
      <c r="E407" s="1006"/>
      <c r="F407" s="1008"/>
    </row>
    <row r="408" spans="2:6" ht="15.75" thickBot="1" x14ac:dyDescent="0.3">
      <c r="B408" s="62" t="s">
        <v>18</v>
      </c>
      <c r="C408" s="992" t="s">
        <v>1481</v>
      </c>
      <c r="D408" s="993"/>
      <c r="E408" s="993"/>
      <c r="F408" s="994"/>
    </row>
    <row r="409" spans="2:6" x14ac:dyDescent="0.25">
      <c r="B409" s="998"/>
      <c r="C409" s="63">
        <v>2018</v>
      </c>
      <c r="D409" s="63">
        <v>2019</v>
      </c>
      <c r="E409" s="63">
        <v>2020</v>
      </c>
      <c r="F409" s="63">
        <v>2021</v>
      </c>
    </row>
    <row r="410" spans="2:6" ht="15.75" thickBot="1" x14ac:dyDescent="0.3">
      <c r="B410" s="999"/>
      <c r="C410" s="64" t="s">
        <v>10</v>
      </c>
      <c r="D410" s="64" t="s">
        <v>11</v>
      </c>
      <c r="E410" s="64" t="s">
        <v>11</v>
      </c>
      <c r="F410" s="64" t="s">
        <v>11</v>
      </c>
    </row>
    <row r="411" spans="2:6" ht="15.75" thickBot="1" x14ac:dyDescent="0.3">
      <c r="B411" s="62" t="s">
        <v>19</v>
      </c>
      <c r="C411" s="161">
        <v>1</v>
      </c>
      <c r="D411" s="161"/>
      <c r="E411" s="161"/>
      <c r="F411" s="161"/>
    </row>
    <row r="412" spans="2:6" ht="15.75" thickBot="1" x14ac:dyDescent="0.3">
      <c r="B412" s="62" t="s">
        <v>20</v>
      </c>
      <c r="C412" s="161">
        <v>10000</v>
      </c>
      <c r="D412" s="161"/>
      <c r="E412" s="161"/>
      <c r="F412" s="161"/>
    </row>
    <row r="413" spans="2:6" ht="15.75" thickBot="1" x14ac:dyDescent="0.3">
      <c r="B413" s="62" t="s">
        <v>21</v>
      </c>
      <c r="C413" s="161">
        <f>C412/C411</f>
        <v>10000</v>
      </c>
      <c r="D413" s="161" t="e">
        <f t="shared" ref="D413:F413" si="39">D412/D411</f>
        <v>#DIV/0!</v>
      </c>
      <c r="E413" s="161" t="e">
        <f t="shared" si="39"/>
        <v>#DIV/0!</v>
      </c>
      <c r="F413" s="161" t="e">
        <f t="shared" si="39"/>
        <v>#DIV/0!</v>
      </c>
    </row>
    <row r="414" spans="2:6" ht="15.75" thickBot="1" x14ac:dyDescent="0.3">
      <c r="B414" s="62" t="s">
        <v>22</v>
      </c>
      <c r="C414" s="636" t="s">
        <v>23</v>
      </c>
      <c r="D414" s="162">
        <f>D411/C411-1</f>
        <v>-1</v>
      </c>
      <c r="E414" s="162" t="e">
        <f t="shared" ref="E414:F416" si="40">E411/D411-1</f>
        <v>#DIV/0!</v>
      </c>
      <c r="F414" s="162" t="e">
        <f t="shared" si="40"/>
        <v>#DIV/0!</v>
      </c>
    </row>
    <row r="415" spans="2:6" ht="15.75" thickBot="1" x14ac:dyDescent="0.3">
      <c r="B415" s="62" t="s">
        <v>24</v>
      </c>
      <c r="C415" s="636" t="s">
        <v>23</v>
      </c>
      <c r="D415" s="162">
        <f>D412/C412-1</f>
        <v>-1</v>
      </c>
      <c r="E415" s="162" t="e">
        <f t="shared" si="40"/>
        <v>#DIV/0!</v>
      </c>
      <c r="F415" s="162" t="e">
        <f t="shared" si="40"/>
        <v>#DIV/0!</v>
      </c>
    </row>
    <row r="416" spans="2:6" ht="15.75" thickBot="1" x14ac:dyDescent="0.3">
      <c r="B416" s="62" t="s">
        <v>25</v>
      </c>
      <c r="C416" s="636" t="s">
        <v>23</v>
      </c>
      <c r="D416" s="162" t="e">
        <f>D413/C413-1</f>
        <v>#DIV/0!</v>
      </c>
      <c r="E416" s="162" t="e">
        <f t="shared" si="40"/>
        <v>#DIV/0!</v>
      </c>
      <c r="F416" s="162" t="e">
        <f t="shared" si="40"/>
        <v>#DIV/0!</v>
      </c>
    </row>
    <row r="417" spans="2:6" ht="15.75" thickBot="1" x14ac:dyDescent="0.3">
      <c r="B417" s="1000" t="s">
        <v>784</v>
      </c>
      <c r="C417" s="1001"/>
      <c r="D417" s="1001"/>
      <c r="E417" s="1001"/>
      <c r="F417" s="1002"/>
    </row>
    <row r="418" spans="2:6" x14ac:dyDescent="0.25">
      <c r="B418" s="998"/>
      <c r="C418" s="63">
        <v>2018</v>
      </c>
      <c r="D418" s="63">
        <v>2019</v>
      </c>
      <c r="E418" s="63">
        <v>2020</v>
      </c>
      <c r="F418" s="63">
        <v>2021</v>
      </c>
    </row>
    <row r="419" spans="2:6" ht="15.75" thickBot="1" x14ac:dyDescent="0.3">
      <c r="B419" s="999"/>
      <c r="C419" s="64" t="s">
        <v>10</v>
      </c>
      <c r="D419" s="64" t="s">
        <v>11</v>
      </c>
      <c r="E419" s="64" t="s">
        <v>11</v>
      </c>
      <c r="F419" s="64" t="s">
        <v>11</v>
      </c>
    </row>
    <row r="420" spans="2:6" ht="15.75" thickBot="1" x14ac:dyDescent="0.3">
      <c r="B420" s="65" t="s">
        <v>58</v>
      </c>
      <c r="C420" s="164"/>
      <c r="D420" s="164"/>
      <c r="E420" s="164"/>
      <c r="F420" s="164"/>
    </row>
    <row r="421" spans="2:6" ht="15.75" thickBot="1" x14ac:dyDescent="0.3">
      <c r="B421" s="65" t="s">
        <v>59</v>
      </c>
      <c r="C421" s="161">
        <v>10000</v>
      </c>
      <c r="D421" s="161"/>
      <c r="E421" s="161"/>
      <c r="F421" s="164"/>
    </row>
    <row r="422" spans="2:6" ht="15.75" thickBot="1" x14ac:dyDescent="0.3">
      <c r="B422" s="66" t="s">
        <v>40</v>
      </c>
      <c r="C422" s="165">
        <f>C421+C420</f>
        <v>10000</v>
      </c>
      <c r="D422" s="165">
        <f t="shared" ref="D422:F422" si="41">D421+D420</f>
        <v>0</v>
      </c>
      <c r="E422" s="165">
        <f t="shared" si="41"/>
        <v>0</v>
      </c>
      <c r="F422" s="165">
        <f t="shared" si="41"/>
        <v>0</v>
      </c>
    </row>
    <row r="423" spans="2:6" x14ac:dyDescent="0.25">
      <c r="B423" s="1015" t="s">
        <v>60</v>
      </c>
      <c r="C423" s="1036"/>
      <c r="D423" s="1037"/>
      <c r="E423" s="1037"/>
      <c r="F423" s="1038"/>
    </row>
    <row r="424" spans="2:6" x14ac:dyDescent="0.25">
      <c r="B424" s="1016"/>
      <c r="C424" s="1039"/>
      <c r="D424" s="1040"/>
      <c r="E424" s="1040"/>
      <c r="F424" s="1041"/>
    </row>
    <row r="425" spans="2:6" ht="15.75" thickBot="1" x14ac:dyDescent="0.3">
      <c r="B425" s="1017"/>
      <c r="C425" s="1042"/>
      <c r="D425" s="1043"/>
      <c r="E425" s="1043"/>
      <c r="F425" s="1044"/>
    </row>
    <row r="426" spans="2:6" ht="15.75" thickBot="1" x14ac:dyDescent="0.3">
      <c r="B426" s="67" t="s">
        <v>1482</v>
      </c>
      <c r="C426" s="1009" t="s">
        <v>1483</v>
      </c>
      <c r="D426" s="1010"/>
      <c r="E426" s="1010"/>
      <c r="F426" s="1011"/>
    </row>
    <row r="427" spans="2:6" ht="84.75" customHeight="1" thickBot="1" x14ac:dyDescent="0.3">
      <c r="B427" s="160" t="s">
        <v>129</v>
      </c>
      <c r="C427" s="1012" t="s">
        <v>1484</v>
      </c>
      <c r="D427" s="1013"/>
      <c r="E427" s="1013"/>
      <c r="F427" s="1014"/>
    </row>
    <row r="428" spans="2:6" ht="75.75" customHeight="1" thickBot="1" x14ac:dyDescent="0.3">
      <c r="B428" s="62" t="s">
        <v>17</v>
      </c>
      <c r="C428" s="983" t="s">
        <v>1485</v>
      </c>
      <c r="D428" s="984"/>
      <c r="E428" s="984"/>
      <c r="F428" s="985"/>
    </row>
    <row r="429" spans="2:6" ht="15.75" thickBot="1" x14ac:dyDescent="0.3">
      <c r="B429" s="62" t="s">
        <v>18</v>
      </c>
      <c r="C429" s="995"/>
      <c r="D429" s="996"/>
      <c r="E429" s="996"/>
      <c r="F429" s="997"/>
    </row>
    <row r="430" spans="2:6" x14ac:dyDescent="0.25">
      <c r="B430" s="998"/>
      <c r="C430" s="63">
        <v>2018</v>
      </c>
      <c r="D430" s="63">
        <v>2019</v>
      </c>
      <c r="E430" s="63">
        <v>2020</v>
      </c>
      <c r="F430" s="63">
        <v>2021</v>
      </c>
    </row>
    <row r="431" spans="2:6" ht="15.75" thickBot="1" x14ac:dyDescent="0.3">
      <c r="B431" s="999"/>
      <c r="C431" s="64" t="s">
        <v>10</v>
      </c>
      <c r="D431" s="64" t="s">
        <v>11</v>
      </c>
      <c r="E431" s="64" t="s">
        <v>11</v>
      </c>
      <c r="F431" s="64" t="s">
        <v>11</v>
      </c>
    </row>
    <row r="432" spans="2:6" ht="15.75" thickBot="1" x14ac:dyDescent="0.3">
      <c r="B432" s="62" t="s">
        <v>19</v>
      </c>
      <c r="C432" s="161">
        <v>1</v>
      </c>
      <c r="D432" s="161">
        <v>1</v>
      </c>
      <c r="E432" s="161">
        <v>1</v>
      </c>
      <c r="F432" s="161"/>
    </row>
    <row r="433" spans="2:6" ht="15.75" thickBot="1" x14ac:dyDescent="0.3">
      <c r="B433" s="62" t="s">
        <v>20</v>
      </c>
      <c r="C433" s="161">
        <v>4000</v>
      </c>
      <c r="D433" s="161">
        <v>4200</v>
      </c>
      <c r="E433" s="161">
        <v>1300</v>
      </c>
      <c r="F433" s="161"/>
    </row>
    <row r="434" spans="2:6" ht="15.75" thickBot="1" x14ac:dyDescent="0.3">
      <c r="B434" s="62" t="s">
        <v>21</v>
      </c>
      <c r="C434" s="161">
        <f>C433/C432</f>
        <v>4000</v>
      </c>
      <c r="D434" s="161">
        <f t="shared" ref="D434:F434" si="42">D433/D432</f>
        <v>4200</v>
      </c>
      <c r="E434" s="161">
        <f t="shared" si="42"/>
        <v>1300</v>
      </c>
      <c r="F434" s="161" t="e">
        <f t="shared" si="42"/>
        <v>#DIV/0!</v>
      </c>
    </row>
    <row r="435" spans="2:6" ht="15.75" thickBot="1" x14ac:dyDescent="0.3">
      <c r="B435" s="62" t="s">
        <v>22</v>
      </c>
      <c r="C435" s="636" t="s">
        <v>23</v>
      </c>
      <c r="D435" s="162">
        <f>D432/C432-1</f>
        <v>0</v>
      </c>
      <c r="E435" s="162">
        <f t="shared" ref="E435:F437" si="43">E432/D432-1</f>
        <v>0</v>
      </c>
      <c r="F435" s="162">
        <f t="shared" si="43"/>
        <v>-1</v>
      </c>
    </row>
    <row r="436" spans="2:6" ht="15.75" thickBot="1" x14ac:dyDescent="0.3">
      <c r="B436" s="62" t="s">
        <v>24</v>
      </c>
      <c r="C436" s="636" t="s">
        <v>23</v>
      </c>
      <c r="D436" s="162">
        <f>D433/C433-1</f>
        <v>5.0000000000000044E-2</v>
      </c>
      <c r="E436" s="162">
        <f t="shared" si="43"/>
        <v>-0.69047619047619047</v>
      </c>
      <c r="F436" s="162">
        <f t="shared" si="43"/>
        <v>-1</v>
      </c>
    </row>
    <row r="437" spans="2:6" ht="15.75" thickBot="1" x14ac:dyDescent="0.3">
      <c r="B437" s="62" t="s">
        <v>25</v>
      </c>
      <c r="C437" s="636" t="s">
        <v>23</v>
      </c>
      <c r="D437" s="162">
        <f>D434/C434-1</f>
        <v>5.0000000000000044E-2</v>
      </c>
      <c r="E437" s="162">
        <f t="shared" si="43"/>
        <v>-0.69047619047619047</v>
      </c>
      <c r="F437" s="162" t="e">
        <f t="shared" si="43"/>
        <v>#DIV/0!</v>
      </c>
    </row>
    <row r="438" spans="2:6" ht="15.75" thickBot="1" x14ac:dyDescent="0.3">
      <c r="B438" s="1000" t="s">
        <v>793</v>
      </c>
      <c r="C438" s="1001"/>
      <c r="D438" s="1001"/>
      <c r="E438" s="1001"/>
      <c r="F438" s="1002"/>
    </row>
    <row r="439" spans="2:6" x14ac:dyDescent="0.25">
      <c r="B439" s="998"/>
      <c r="C439" s="63">
        <v>2018</v>
      </c>
      <c r="D439" s="63">
        <v>2019</v>
      </c>
      <c r="E439" s="63">
        <v>2020</v>
      </c>
      <c r="F439" s="63">
        <v>2021</v>
      </c>
    </row>
    <row r="440" spans="2:6" ht="15.75" thickBot="1" x14ac:dyDescent="0.3">
      <c r="B440" s="999"/>
      <c r="C440" s="64" t="s">
        <v>10</v>
      </c>
      <c r="D440" s="64" t="s">
        <v>11</v>
      </c>
      <c r="E440" s="64" t="s">
        <v>11</v>
      </c>
      <c r="F440" s="64" t="s">
        <v>11</v>
      </c>
    </row>
    <row r="441" spans="2:6" ht="15.75" thickBot="1" x14ac:dyDescent="0.3">
      <c r="B441" s="65" t="s">
        <v>58</v>
      </c>
      <c r="C441" s="164"/>
      <c r="D441" s="164"/>
      <c r="E441" s="164"/>
      <c r="F441" s="164"/>
    </row>
    <row r="442" spans="2:6" ht="15.75" thickBot="1" x14ac:dyDescent="0.3">
      <c r="B442" s="65" t="s">
        <v>59</v>
      </c>
      <c r="C442" s="161">
        <v>4000</v>
      </c>
      <c r="D442" s="161">
        <v>4200</v>
      </c>
      <c r="E442" s="161">
        <v>1300</v>
      </c>
      <c r="F442" s="164"/>
    </row>
    <row r="443" spans="2:6" ht="15.75" thickBot="1" x14ac:dyDescent="0.3">
      <c r="B443" s="66" t="s">
        <v>74</v>
      </c>
      <c r="C443" s="165">
        <f>C442+C441</f>
        <v>4000</v>
      </c>
      <c r="D443" s="165">
        <f t="shared" ref="D443:F443" si="44">D442+D441</f>
        <v>4200</v>
      </c>
      <c r="E443" s="165">
        <f t="shared" si="44"/>
        <v>1300</v>
      </c>
      <c r="F443" s="165">
        <f t="shared" si="44"/>
        <v>0</v>
      </c>
    </row>
    <row r="444" spans="2:6" x14ac:dyDescent="0.25">
      <c r="B444" s="1015" t="s">
        <v>62</v>
      </c>
      <c r="C444" s="1036"/>
      <c r="D444" s="1037"/>
      <c r="E444" s="1037"/>
      <c r="F444" s="1038"/>
    </row>
    <row r="445" spans="2:6" x14ac:dyDescent="0.25">
      <c r="B445" s="1016"/>
      <c r="C445" s="1039"/>
      <c r="D445" s="1040"/>
      <c r="E445" s="1040"/>
      <c r="F445" s="1041"/>
    </row>
    <row r="446" spans="2:6" ht="15.75" thickBot="1" x14ac:dyDescent="0.3">
      <c r="B446" s="1017"/>
      <c r="C446" s="1042"/>
      <c r="D446" s="1043"/>
      <c r="E446" s="1043"/>
      <c r="F446" s="1044"/>
    </row>
    <row r="447" spans="2:6" ht="15.75" thickBot="1" x14ac:dyDescent="0.3">
      <c r="B447" s="67" t="s">
        <v>61</v>
      </c>
      <c r="C447" s="1009" t="s">
        <v>1486</v>
      </c>
      <c r="D447" s="1010"/>
      <c r="E447" s="1010"/>
      <c r="F447" s="1011"/>
    </row>
    <row r="448" spans="2:6" ht="71.25" customHeight="1" thickBot="1" x14ac:dyDescent="0.3">
      <c r="B448" s="160" t="s">
        <v>129</v>
      </c>
      <c r="C448" s="1012" t="s">
        <v>1487</v>
      </c>
      <c r="D448" s="1013"/>
      <c r="E448" s="1013"/>
      <c r="F448" s="1014"/>
    </row>
    <row r="449" spans="2:6" ht="103.5" customHeight="1" thickBot="1" x14ac:dyDescent="0.3">
      <c r="B449" s="62" t="s">
        <v>17</v>
      </c>
      <c r="C449" s="983" t="s">
        <v>1488</v>
      </c>
      <c r="D449" s="984"/>
      <c r="E449" s="984"/>
      <c r="F449" s="985"/>
    </row>
    <row r="450" spans="2:6" ht="15.75" thickBot="1" x14ac:dyDescent="0.3">
      <c r="B450" s="62" t="s">
        <v>18</v>
      </c>
      <c r="C450" s="995"/>
      <c r="D450" s="996"/>
      <c r="E450" s="996"/>
      <c r="F450" s="997"/>
    </row>
    <row r="451" spans="2:6" x14ac:dyDescent="0.25">
      <c r="B451" s="998"/>
      <c r="C451" s="63">
        <v>2018</v>
      </c>
      <c r="D451" s="63">
        <v>2019</v>
      </c>
      <c r="E451" s="63">
        <v>2020</v>
      </c>
      <c r="F451" s="63">
        <v>2021</v>
      </c>
    </row>
    <row r="452" spans="2:6" ht="15.75" thickBot="1" x14ac:dyDescent="0.3">
      <c r="B452" s="999"/>
      <c r="C452" s="64" t="s">
        <v>10</v>
      </c>
      <c r="D452" s="64" t="s">
        <v>11</v>
      </c>
      <c r="E452" s="64" t="s">
        <v>11</v>
      </c>
      <c r="F452" s="64" t="s">
        <v>11</v>
      </c>
    </row>
    <row r="453" spans="2:6" ht="15.75" thickBot="1" x14ac:dyDescent="0.3">
      <c r="B453" s="62" t="s">
        <v>19</v>
      </c>
      <c r="C453" s="161"/>
      <c r="D453" s="161"/>
      <c r="E453" s="161"/>
      <c r="F453" s="161"/>
    </row>
    <row r="454" spans="2:6" ht="15.75" thickBot="1" x14ac:dyDescent="0.3">
      <c r="B454" s="62" t="s">
        <v>20</v>
      </c>
      <c r="C454" s="161"/>
      <c r="D454" s="161"/>
      <c r="E454" s="161">
        <v>180600</v>
      </c>
      <c r="F454" s="161">
        <v>180600</v>
      </c>
    </row>
    <row r="455" spans="2:6" ht="15.75" thickBot="1" x14ac:dyDescent="0.3">
      <c r="B455" s="62" t="s">
        <v>21</v>
      </c>
      <c r="C455" s="161" t="e">
        <f>C454/C453</f>
        <v>#DIV/0!</v>
      </c>
      <c r="D455" s="161" t="e">
        <f t="shared" ref="D455:F455" si="45">D454/D453</f>
        <v>#DIV/0!</v>
      </c>
      <c r="E455" s="161" t="e">
        <f t="shared" si="45"/>
        <v>#DIV/0!</v>
      </c>
      <c r="F455" s="161" t="e">
        <f t="shared" si="45"/>
        <v>#DIV/0!</v>
      </c>
    </row>
    <row r="456" spans="2:6" ht="15.75" thickBot="1" x14ac:dyDescent="0.3">
      <c r="B456" s="62" t="s">
        <v>22</v>
      </c>
      <c r="C456" s="636" t="s">
        <v>23</v>
      </c>
      <c r="D456" s="162" t="e">
        <f>D453/C453-1</f>
        <v>#DIV/0!</v>
      </c>
      <c r="E456" s="162" t="e">
        <f t="shared" ref="E456:F458" si="46">E453/D453-1</f>
        <v>#DIV/0!</v>
      </c>
      <c r="F456" s="162" t="e">
        <f t="shared" si="46"/>
        <v>#DIV/0!</v>
      </c>
    </row>
    <row r="457" spans="2:6" ht="15.75" thickBot="1" x14ac:dyDescent="0.3">
      <c r="B457" s="62" t="s">
        <v>24</v>
      </c>
      <c r="C457" s="636" t="s">
        <v>23</v>
      </c>
      <c r="D457" s="162" t="e">
        <f>D454/C454-1</f>
        <v>#DIV/0!</v>
      </c>
      <c r="E457" s="162" t="e">
        <f t="shared" si="46"/>
        <v>#DIV/0!</v>
      </c>
      <c r="F457" s="162">
        <f t="shared" si="46"/>
        <v>0</v>
      </c>
    </row>
    <row r="458" spans="2:6" ht="15.75" thickBot="1" x14ac:dyDescent="0.3">
      <c r="B458" s="62" t="s">
        <v>25</v>
      </c>
      <c r="C458" s="636" t="s">
        <v>23</v>
      </c>
      <c r="D458" s="162" t="e">
        <f>D455/C455-1</f>
        <v>#DIV/0!</v>
      </c>
      <c r="E458" s="162" t="e">
        <f t="shared" si="46"/>
        <v>#DIV/0!</v>
      </c>
      <c r="F458" s="162" t="e">
        <f t="shared" si="46"/>
        <v>#DIV/0!</v>
      </c>
    </row>
    <row r="459" spans="2:6" ht="15.75" thickBot="1" x14ac:dyDescent="0.3">
      <c r="B459" s="1000" t="s">
        <v>793</v>
      </c>
      <c r="C459" s="1001"/>
      <c r="D459" s="1001"/>
      <c r="E459" s="1001"/>
      <c r="F459" s="1002"/>
    </row>
    <row r="460" spans="2:6" x14ac:dyDescent="0.25">
      <c r="B460" s="998"/>
      <c r="C460" s="63">
        <v>2018</v>
      </c>
      <c r="D460" s="63">
        <v>2019</v>
      </c>
      <c r="E460" s="63">
        <v>2020</v>
      </c>
      <c r="F460" s="63">
        <v>2021</v>
      </c>
    </row>
    <row r="461" spans="2:6" ht="15.75" thickBot="1" x14ac:dyDescent="0.3">
      <c r="B461" s="999"/>
      <c r="C461" s="64" t="s">
        <v>10</v>
      </c>
      <c r="D461" s="64" t="s">
        <v>11</v>
      </c>
      <c r="E461" s="64" t="s">
        <v>11</v>
      </c>
      <c r="F461" s="64" t="s">
        <v>11</v>
      </c>
    </row>
    <row r="462" spans="2:6" ht="15.75" thickBot="1" x14ac:dyDescent="0.3">
      <c r="B462" s="65" t="s">
        <v>58</v>
      </c>
      <c r="C462" s="164"/>
      <c r="D462" s="164"/>
      <c r="E462" s="164"/>
      <c r="F462" s="164"/>
    </row>
    <row r="463" spans="2:6" ht="15.75" thickBot="1" x14ac:dyDescent="0.3">
      <c r="B463" s="65" t="s">
        <v>59</v>
      </c>
      <c r="C463" s="161"/>
      <c r="D463" s="161"/>
      <c r="E463" s="161">
        <v>180600</v>
      </c>
      <c r="F463" s="164">
        <v>180600</v>
      </c>
    </row>
    <row r="464" spans="2:6" ht="15.75" thickBot="1" x14ac:dyDescent="0.3">
      <c r="B464" s="66" t="s">
        <v>74</v>
      </c>
      <c r="C464" s="165">
        <f>C463+C462</f>
        <v>0</v>
      </c>
      <c r="D464" s="165">
        <f t="shared" ref="D464:F464" si="47">D463+D462</f>
        <v>0</v>
      </c>
      <c r="E464" s="165">
        <f t="shared" si="47"/>
        <v>180600</v>
      </c>
      <c r="F464" s="165">
        <f t="shared" si="47"/>
        <v>180600</v>
      </c>
    </row>
    <row r="465" spans="2:6" x14ac:dyDescent="0.25">
      <c r="B465" s="1015" t="s">
        <v>62</v>
      </c>
      <c r="C465" s="1036"/>
      <c r="D465" s="1037"/>
      <c r="E465" s="1037"/>
      <c r="F465" s="1038"/>
    </row>
    <row r="466" spans="2:6" x14ac:dyDescent="0.25">
      <c r="B466" s="1016"/>
      <c r="C466" s="1039"/>
      <c r="D466" s="1040"/>
      <c r="E466" s="1040"/>
      <c r="F466" s="1041"/>
    </row>
    <row r="467" spans="2:6" ht="15.75" thickBot="1" x14ac:dyDescent="0.3">
      <c r="B467" s="1017"/>
      <c r="C467" s="1042"/>
      <c r="D467" s="1043"/>
      <c r="E467" s="1043"/>
      <c r="F467" s="1044"/>
    </row>
    <row r="468" spans="2:6" ht="15.75" thickBot="1" x14ac:dyDescent="0.3">
      <c r="B468" s="175"/>
      <c r="C468" s="176"/>
      <c r="D468" s="176"/>
      <c r="E468" s="176"/>
      <c r="F468" s="176"/>
    </row>
    <row r="469" spans="2:6" ht="30.75" thickBot="1" x14ac:dyDescent="0.3">
      <c r="B469" s="158" t="s">
        <v>82</v>
      </c>
      <c r="C469" s="177">
        <f>C234+C213+C190+C145+C116+C93+C72+C29+C255+C280+C320+C367+C412+C433</f>
        <v>132900</v>
      </c>
      <c r="D469" s="177">
        <f>D234+D213+D190+D145+D116+D93+D72+D29+D255+D280+D320+D367+D412+D433</f>
        <v>176700</v>
      </c>
      <c r="E469" s="177">
        <f>E234+E213+E190+E145+E116+E93+E72+E29+E255+E280+E320+E367+E412+E433+E454</f>
        <v>360200</v>
      </c>
      <c r="F469" s="177">
        <f>F234+F213+F190+F145+F116+F93+F72+F29+F255+F280+F320+F367+F412+F454</f>
        <v>315900</v>
      </c>
    </row>
    <row r="470" spans="2:6" ht="30.75" thickBot="1" x14ac:dyDescent="0.3">
      <c r="B470" s="158" t="s">
        <v>83</v>
      </c>
      <c r="C470" s="177">
        <f>C472+C474+C476+C478+C480+C482+C484+C486+C488</f>
        <v>132900</v>
      </c>
      <c r="D470" s="177">
        <f>D472+D474+D476+D478+D480+D482+D484+D486+D488</f>
        <v>176700</v>
      </c>
      <c r="E470" s="177">
        <f>E472+E474+E476+E478+E480+E482+E484+E486+E488</f>
        <v>360200</v>
      </c>
      <c r="F470" s="177">
        <f>F472+F474+F476+F478+F480+F482+F484+F486+F488</f>
        <v>315900</v>
      </c>
    </row>
    <row r="471" spans="2:6" ht="30.75" thickBot="1" x14ac:dyDescent="0.3">
      <c r="B471" s="178" t="s">
        <v>84</v>
      </c>
      <c r="C471" s="179"/>
      <c r="D471" s="180">
        <f>D470/C470-1</f>
        <v>0.32957110609480811</v>
      </c>
      <c r="E471" s="180">
        <f t="shared" ref="E471:F471" si="48">E470/D470-1</f>
        <v>1.0384833050367854</v>
      </c>
      <c r="F471" s="180">
        <f t="shared" si="48"/>
        <v>-0.12298722931704609</v>
      </c>
    </row>
    <row r="472" spans="2:6" ht="15.75" thickBot="1" x14ac:dyDescent="0.3">
      <c r="B472" s="65" t="s">
        <v>26</v>
      </c>
      <c r="C472" s="164">
        <f>C37+C155+C288+C328+C377</f>
        <v>44000</v>
      </c>
      <c r="D472" s="164">
        <f>D37+D155+D288+D328+D377</f>
        <v>41000</v>
      </c>
      <c r="E472" s="164">
        <f>E37+E155+E288+E328+E377</f>
        <v>41000</v>
      </c>
      <c r="F472" s="164">
        <f>F37+F155+F288+F328+F377</f>
        <v>41000</v>
      </c>
    </row>
    <row r="473" spans="2:6" ht="15.75" thickBot="1" x14ac:dyDescent="0.3">
      <c r="B473" s="181" t="s">
        <v>85</v>
      </c>
      <c r="C473" s="165"/>
      <c r="D473" s="182">
        <f>D472/C472-1</f>
        <v>-6.8181818181818232E-2</v>
      </c>
      <c r="E473" s="182">
        <f t="shared" ref="E473:F473" si="49">E472/D472-1</f>
        <v>0</v>
      </c>
      <c r="F473" s="182">
        <f t="shared" si="49"/>
        <v>0</v>
      </c>
    </row>
    <row r="474" spans="2:6" ht="15.75" thickBot="1" x14ac:dyDescent="0.3">
      <c r="B474" s="65" t="s">
        <v>28</v>
      </c>
      <c r="C474" s="164">
        <f>C40+C158+C291+C331+C380</f>
        <v>7900</v>
      </c>
      <c r="D474" s="164">
        <f>D40+D158+D291+D331+D380</f>
        <v>7500</v>
      </c>
      <c r="E474" s="164">
        <f>E40+E158+E291+E331+E380</f>
        <v>7500</v>
      </c>
      <c r="F474" s="164">
        <f>F40+F158+F291+F331+F380</f>
        <v>7500</v>
      </c>
    </row>
    <row r="475" spans="2:6" ht="15.75" thickBot="1" x14ac:dyDescent="0.3">
      <c r="B475" s="181" t="s">
        <v>86</v>
      </c>
      <c r="C475" s="165"/>
      <c r="D475" s="182">
        <f>D474/C474-1</f>
        <v>-5.0632911392405111E-2</v>
      </c>
      <c r="E475" s="182">
        <f t="shared" ref="E475:F475" si="50">E474/D474-1</f>
        <v>0</v>
      </c>
      <c r="F475" s="182">
        <f t="shared" si="50"/>
        <v>0</v>
      </c>
    </row>
    <row r="476" spans="2:6" ht="15.75" thickBot="1" x14ac:dyDescent="0.3">
      <c r="B476" s="65" t="s">
        <v>30</v>
      </c>
      <c r="C476" s="164">
        <f>C43+C161+C294+C334+C383</f>
        <v>23000</v>
      </c>
      <c r="D476" s="164">
        <f>D43+D161+D294+D334+D383</f>
        <v>20000</v>
      </c>
      <c r="E476" s="164">
        <f>E43+E161+E294+E334+E383</f>
        <v>20000</v>
      </c>
      <c r="F476" s="164">
        <f>F43+F161+F294+F334+F383</f>
        <v>20000</v>
      </c>
    </row>
    <row r="477" spans="2:6" ht="15.75" thickBot="1" x14ac:dyDescent="0.3">
      <c r="B477" s="181" t="s">
        <v>87</v>
      </c>
      <c r="C477" s="165"/>
      <c r="D477" s="182">
        <f>D476/C476-1</f>
        <v>-0.13043478260869568</v>
      </c>
      <c r="E477" s="182">
        <f t="shared" ref="E477:F477" si="51">E476/D476-1</f>
        <v>0</v>
      </c>
      <c r="F477" s="182">
        <f t="shared" si="51"/>
        <v>0</v>
      </c>
    </row>
    <row r="478" spans="2:6" ht="15.75" thickBot="1" x14ac:dyDescent="0.3">
      <c r="B478" s="65" t="s">
        <v>32</v>
      </c>
      <c r="C478" s="164">
        <f>C46+C164+C297+C337+C386</f>
        <v>0</v>
      </c>
      <c r="D478" s="164">
        <f>D46+D164+D297+D337+D386</f>
        <v>0</v>
      </c>
      <c r="E478" s="164">
        <f>E46+E164+E297+E337+E386</f>
        <v>0</v>
      </c>
      <c r="F478" s="164">
        <f>F46+F164+F297+F337+F386</f>
        <v>0</v>
      </c>
    </row>
    <row r="479" spans="2:6" ht="15.75" thickBot="1" x14ac:dyDescent="0.3">
      <c r="B479" s="181" t="s">
        <v>88</v>
      </c>
      <c r="C479" s="165"/>
      <c r="D479" s="182" t="e">
        <f>D478/C478-1</f>
        <v>#DIV/0!</v>
      </c>
      <c r="E479" s="182" t="e">
        <f t="shared" ref="E479:F479" si="52">E478/D478-1</f>
        <v>#DIV/0!</v>
      </c>
      <c r="F479" s="182" t="e">
        <f t="shared" si="52"/>
        <v>#DIV/0!</v>
      </c>
    </row>
    <row r="480" spans="2:6" ht="15.75" thickBot="1" x14ac:dyDescent="0.3">
      <c r="B480" s="65" t="s">
        <v>34</v>
      </c>
      <c r="C480" s="164">
        <v>0</v>
      </c>
      <c r="D480" s="164">
        <v>0</v>
      </c>
      <c r="E480" s="164">
        <v>0</v>
      </c>
      <c r="F480" s="164">
        <v>0</v>
      </c>
    </row>
    <row r="481" spans="2:6" ht="15.75" thickBot="1" x14ac:dyDescent="0.3">
      <c r="B481" s="181" t="s">
        <v>89</v>
      </c>
      <c r="C481" s="165"/>
      <c r="D481" s="182" t="e">
        <f>D480/C480-1</f>
        <v>#DIV/0!</v>
      </c>
      <c r="E481" s="182" t="e">
        <f t="shared" ref="E481:F481" si="53">E480/D480-1</f>
        <v>#DIV/0!</v>
      </c>
      <c r="F481" s="182" t="e">
        <f t="shared" si="53"/>
        <v>#DIV/0!</v>
      </c>
    </row>
    <row r="482" spans="2:6" ht="15.75" thickBot="1" x14ac:dyDescent="0.3">
      <c r="B482" s="65" t="s">
        <v>36</v>
      </c>
      <c r="C482" s="164">
        <f>C170+C303+C340+C392</f>
        <v>1000</v>
      </c>
      <c r="D482" s="164">
        <f>D170+D303+D340+D392</f>
        <v>1000</v>
      </c>
      <c r="E482" s="164">
        <f>E170+E303+E340+E392</f>
        <v>1000</v>
      </c>
      <c r="F482" s="164">
        <f>F170+F303+F340+F392</f>
        <v>1000</v>
      </c>
    </row>
    <row r="483" spans="2:6" ht="15.75" thickBot="1" x14ac:dyDescent="0.3">
      <c r="B483" s="181" t="s">
        <v>90</v>
      </c>
      <c r="C483" s="165"/>
      <c r="D483" s="182">
        <f>D482/C482-1</f>
        <v>0</v>
      </c>
      <c r="E483" s="182">
        <f t="shared" ref="E483:F483" si="54">E482/D482-1</f>
        <v>0</v>
      </c>
      <c r="F483" s="182">
        <f t="shared" si="54"/>
        <v>0</v>
      </c>
    </row>
    <row r="484" spans="2:6" ht="15.75" thickBot="1" x14ac:dyDescent="0.3">
      <c r="B484" s="65" t="s">
        <v>38</v>
      </c>
      <c r="C484" s="164">
        <v>0</v>
      </c>
      <c r="D484" s="164">
        <v>0</v>
      </c>
      <c r="E484" s="164">
        <v>0</v>
      </c>
      <c r="F484" s="164">
        <v>0</v>
      </c>
    </row>
    <row r="485" spans="2:6" ht="15.75" thickBot="1" x14ac:dyDescent="0.3">
      <c r="B485" s="181" t="s">
        <v>91</v>
      </c>
      <c r="C485" s="165"/>
      <c r="D485" s="182" t="e">
        <f>D484/C484-1</f>
        <v>#DIV/0!</v>
      </c>
      <c r="E485" s="182" t="e">
        <f>E484/D484-1</f>
        <v>#DIV/0!</v>
      </c>
      <c r="F485" s="182" t="e">
        <f>F484/E484-1</f>
        <v>#DIV/0!</v>
      </c>
    </row>
    <row r="486" spans="2:6" ht="15.75" thickBot="1" x14ac:dyDescent="0.3">
      <c r="B486" s="65" t="s">
        <v>92</v>
      </c>
      <c r="C486" s="164">
        <f>C124+C198+C242+C263+C420+C221</f>
        <v>9500</v>
      </c>
      <c r="D486" s="164">
        <f>D124+D198+D242+D263+D420+D221</f>
        <v>8000</v>
      </c>
      <c r="E486" s="164">
        <f>E124+E198+E242+E263+E420+E221</f>
        <v>8000</v>
      </c>
      <c r="F486" s="164">
        <f>F124+F198+F242+F263+F420+F221</f>
        <v>0</v>
      </c>
    </row>
    <row r="487" spans="2:6" ht="15.75" thickBot="1" x14ac:dyDescent="0.3">
      <c r="B487" s="181" t="s">
        <v>93</v>
      </c>
      <c r="C487" s="165"/>
      <c r="D487" s="182">
        <f>D486/C486-1</f>
        <v>-0.15789473684210531</v>
      </c>
      <c r="E487" s="182">
        <f t="shared" ref="E487:F487" si="55">E486/D486-1</f>
        <v>0</v>
      </c>
      <c r="F487" s="182">
        <f t="shared" si="55"/>
        <v>-1</v>
      </c>
    </row>
    <row r="488" spans="2:6" ht="15.75" thickBot="1" x14ac:dyDescent="0.3">
      <c r="B488" s="65" t="s">
        <v>94</v>
      </c>
      <c r="C488" s="164">
        <f>C125+C199+C243+C264+C421+C222+C442</f>
        <v>47500</v>
      </c>
      <c r="D488" s="164">
        <f>D125+D199+D243+D264+D421+D222+D442</f>
        <v>99200</v>
      </c>
      <c r="E488" s="164">
        <f>E125+E199+E243+E264+E421+E222+E442+E463</f>
        <v>282700</v>
      </c>
      <c r="F488" s="164">
        <f>F125+F199+F243+F264+F421+F222+F442+F463</f>
        <v>246400</v>
      </c>
    </row>
    <row r="489" spans="2:6" ht="15.75" thickBot="1" x14ac:dyDescent="0.3">
      <c r="B489" s="181" t="s">
        <v>95</v>
      </c>
      <c r="C489" s="165"/>
      <c r="D489" s="182">
        <f>D488/C488-1</f>
        <v>1.088421052631579</v>
      </c>
      <c r="E489" s="182">
        <f>E488/D488-1</f>
        <v>1.849798387096774</v>
      </c>
      <c r="F489" s="182">
        <f>F488/E488-1</f>
        <v>-0.12840466926070038</v>
      </c>
    </row>
    <row r="490" spans="2:6" x14ac:dyDescent="0.25">
      <c r="B490" s="1220" t="s">
        <v>790</v>
      </c>
      <c r="C490" s="1223"/>
      <c r="D490" s="1223"/>
      <c r="E490" s="1223"/>
      <c r="F490" s="1224"/>
    </row>
    <row r="491" spans="2:6" x14ac:dyDescent="0.25">
      <c r="B491" s="1221"/>
      <c r="C491" s="1225"/>
      <c r="D491" s="1225"/>
      <c r="E491" s="1225"/>
      <c r="F491" s="1226"/>
    </row>
    <row r="492" spans="2:6" ht="15.75" thickBot="1" x14ac:dyDescent="0.3">
      <c r="B492" s="1222"/>
      <c r="C492" s="1227"/>
      <c r="D492" s="1227"/>
      <c r="E492" s="1227"/>
      <c r="F492" s="1228"/>
    </row>
    <row r="493" spans="2:6" ht="15.75" thickBot="1" x14ac:dyDescent="0.3">
      <c r="B493" s="166" t="s">
        <v>41</v>
      </c>
      <c r="C493" s="167">
        <f>IF(C470-C469=0,0,"Error")</f>
        <v>0</v>
      </c>
      <c r="D493" s="167">
        <f>IF(D470-D469=0,0,"Error")</f>
        <v>0</v>
      </c>
      <c r="E493" s="167">
        <f t="shared" ref="E493:F493" si="56">IF(E470-E469=0,0,"Error")</f>
        <v>0</v>
      </c>
      <c r="F493" s="167">
        <f t="shared" si="56"/>
        <v>0</v>
      </c>
    </row>
    <row r="494" spans="2:6" ht="15.75" thickBot="1" x14ac:dyDescent="0.3">
      <c r="B494" s="183" t="s">
        <v>96</v>
      </c>
      <c r="C494" s="164">
        <v>49</v>
      </c>
      <c r="D494" s="164">
        <v>46</v>
      </c>
      <c r="E494" s="164">
        <v>46</v>
      </c>
      <c r="F494" s="164">
        <v>46</v>
      </c>
    </row>
    <row r="495" spans="2:6" ht="30.75" thickBot="1" x14ac:dyDescent="0.3">
      <c r="B495" s="183" t="s">
        <v>97</v>
      </c>
      <c r="C495" s="164">
        <v>0</v>
      </c>
      <c r="D495" s="164">
        <v>0</v>
      </c>
      <c r="E495" s="164">
        <v>0</v>
      </c>
      <c r="F495" s="164">
        <v>0</v>
      </c>
    </row>
  </sheetData>
  <mergeCells count="169">
    <mergeCell ref="B451:B452"/>
    <mergeCell ref="B459:F459"/>
    <mergeCell ref="B460:B461"/>
    <mergeCell ref="B465:B467"/>
    <mergeCell ref="C465:F467"/>
    <mergeCell ref="B490:B492"/>
    <mergeCell ref="C490:F492"/>
    <mergeCell ref="B444:B446"/>
    <mergeCell ref="C444:F446"/>
    <mergeCell ref="C447:F447"/>
    <mergeCell ref="C448:F448"/>
    <mergeCell ref="C449:F449"/>
    <mergeCell ref="C450:F450"/>
    <mergeCell ref="C427:F427"/>
    <mergeCell ref="C428:F428"/>
    <mergeCell ref="C429:F429"/>
    <mergeCell ref="B430:B431"/>
    <mergeCell ref="B438:F438"/>
    <mergeCell ref="B439:B440"/>
    <mergeCell ref="B409:B410"/>
    <mergeCell ref="B417:F417"/>
    <mergeCell ref="B418:B419"/>
    <mergeCell ref="B423:B425"/>
    <mergeCell ref="C423:F425"/>
    <mergeCell ref="C426:F426"/>
    <mergeCell ref="B403:F403"/>
    <mergeCell ref="B404:F404"/>
    <mergeCell ref="C405:F405"/>
    <mergeCell ref="C406:F406"/>
    <mergeCell ref="C407:F407"/>
    <mergeCell ref="C408:F408"/>
    <mergeCell ref="B364:B365"/>
    <mergeCell ref="B372:B373"/>
    <mergeCell ref="B374:F374"/>
    <mergeCell ref="B375:B376"/>
    <mergeCell ref="B399:B401"/>
    <mergeCell ref="C399:F401"/>
    <mergeCell ref="B357:F357"/>
    <mergeCell ref="B358:F358"/>
    <mergeCell ref="B359:B360"/>
    <mergeCell ref="C361:F361"/>
    <mergeCell ref="C362:F362"/>
    <mergeCell ref="C363:F363"/>
    <mergeCell ref="B325:F325"/>
    <mergeCell ref="B326:B327"/>
    <mergeCell ref="B350:B352"/>
    <mergeCell ref="C350:F352"/>
    <mergeCell ref="C354:F354"/>
    <mergeCell ref="B355:F355"/>
    <mergeCell ref="B310:B312"/>
    <mergeCell ref="C310:F312"/>
    <mergeCell ref="C314:F314"/>
    <mergeCell ref="C315:F315"/>
    <mergeCell ref="C316:F316"/>
    <mergeCell ref="B318:B319"/>
    <mergeCell ref="C274:F274"/>
    <mergeCell ref="C275:F275"/>
    <mergeCell ref="C276:F276"/>
    <mergeCell ref="B277:B278"/>
    <mergeCell ref="B285:F285"/>
    <mergeCell ref="B286:B287"/>
    <mergeCell ref="B266:B268"/>
    <mergeCell ref="C266:F268"/>
    <mergeCell ref="C269:F269"/>
    <mergeCell ref="B270:F270"/>
    <mergeCell ref="B272:F272"/>
    <mergeCell ref="B273:F273"/>
    <mergeCell ref="C249:F249"/>
    <mergeCell ref="C250:F250"/>
    <mergeCell ref="C251:F251"/>
    <mergeCell ref="B252:B253"/>
    <mergeCell ref="B260:F260"/>
    <mergeCell ref="B261:B262"/>
    <mergeCell ref="B231:B232"/>
    <mergeCell ref="B239:F239"/>
    <mergeCell ref="B240:B241"/>
    <mergeCell ref="B245:B247"/>
    <mergeCell ref="C245:F247"/>
    <mergeCell ref="C248:F248"/>
    <mergeCell ref="B224:B226"/>
    <mergeCell ref="C224:F226"/>
    <mergeCell ref="C227:F227"/>
    <mergeCell ref="C228:F228"/>
    <mergeCell ref="C229:F229"/>
    <mergeCell ref="C230:F230"/>
    <mergeCell ref="C207:F207"/>
    <mergeCell ref="C208:F208"/>
    <mergeCell ref="C209:F209"/>
    <mergeCell ref="B210:B211"/>
    <mergeCell ref="B218:F218"/>
    <mergeCell ref="B219:B220"/>
    <mergeCell ref="B196:B197"/>
    <mergeCell ref="B201:B203"/>
    <mergeCell ref="C201:F203"/>
    <mergeCell ref="B204:F204"/>
    <mergeCell ref="B205:F205"/>
    <mergeCell ref="C206:F206"/>
    <mergeCell ref="C183:F183"/>
    <mergeCell ref="C184:F184"/>
    <mergeCell ref="C185:F185"/>
    <mergeCell ref="C186:F186"/>
    <mergeCell ref="B187:B188"/>
    <mergeCell ref="B195:F195"/>
    <mergeCell ref="B152:F152"/>
    <mergeCell ref="B153:B154"/>
    <mergeCell ref="B177:B179"/>
    <mergeCell ref="C177:F179"/>
    <mergeCell ref="B181:F181"/>
    <mergeCell ref="B182:F182"/>
    <mergeCell ref="B137:B138"/>
    <mergeCell ref="C139:F139"/>
    <mergeCell ref="C140:F140"/>
    <mergeCell ref="C141:F141"/>
    <mergeCell ref="B142:B143"/>
    <mergeCell ref="B150:B151"/>
    <mergeCell ref="B127:B129"/>
    <mergeCell ref="C127:F129"/>
    <mergeCell ref="C130:F130"/>
    <mergeCell ref="B131:F131"/>
    <mergeCell ref="B135:F135"/>
    <mergeCell ref="B136:F136"/>
    <mergeCell ref="C110:F110"/>
    <mergeCell ref="C111:F111"/>
    <mergeCell ref="C112:F112"/>
    <mergeCell ref="B113:B114"/>
    <mergeCell ref="B121:F121"/>
    <mergeCell ref="B122:B123"/>
    <mergeCell ref="B99:B100"/>
    <mergeCell ref="B104:B106"/>
    <mergeCell ref="C104:F106"/>
    <mergeCell ref="B107:F107"/>
    <mergeCell ref="B108:F108"/>
    <mergeCell ref="C109:F109"/>
    <mergeCell ref="C86:F86"/>
    <mergeCell ref="C87:F87"/>
    <mergeCell ref="C88:F88"/>
    <mergeCell ref="C89:F89"/>
    <mergeCell ref="B90:B91"/>
    <mergeCell ref="B98:F98"/>
    <mergeCell ref="C67:F67"/>
    <mergeCell ref="C68:F68"/>
    <mergeCell ref="B69:B70"/>
    <mergeCell ref="B77:F77"/>
    <mergeCell ref="B78:B79"/>
    <mergeCell ref="B83:B85"/>
    <mergeCell ref="C83:F85"/>
    <mergeCell ref="B59:B61"/>
    <mergeCell ref="C59:F61"/>
    <mergeCell ref="B63:F63"/>
    <mergeCell ref="B64:F64"/>
    <mergeCell ref="C65:F65"/>
    <mergeCell ref="C66:F66"/>
    <mergeCell ref="C23:F23"/>
    <mergeCell ref="C24:F24"/>
    <mergeCell ref="C25:F25"/>
    <mergeCell ref="B26:B27"/>
    <mergeCell ref="B34:F34"/>
    <mergeCell ref="B35:B36"/>
    <mergeCell ref="C12:F12"/>
    <mergeCell ref="B13:B14"/>
    <mergeCell ref="C18:F18"/>
    <mergeCell ref="B19:F19"/>
    <mergeCell ref="B21:F21"/>
    <mergeCell ref="B22:F22"/>
    <mergeCell ref="C5:F5"/>
    <mergeCell ref="C6:F6"/>
    <mergeCell ref="C7:F7"/>
    <mergeCell ref="B8:F8"/>
    <mergeCell ref="B9:F11"/>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115"/>
  <sheetViews>
    <sheetView topLeftCell="A91" zoomScale="110" zoomScaleNormal="110" workbookViewId="0">
      <selection activeCell="K105" sqref="K105"/>
    </sheetView>
  </sheetViews>
  <sheetFormatPr defaultRowHeight="15" x14ac:dyDescent="0.25"/>
  <cols>
    <col min="1" max="2" width="9.140625" style="152"/>
    <col min="3" max="3" width="26.28515625" style="152" customWidth="1"/>
    <col min="4" max="7" width="21.42578125" style="152" customWidth="1"/>
    <col min="8" max="16384" width="9.140625" style="152"/>
  </cols>
  <sheetData>
    <row r="3" spans="3:7" ht="15.75" x14ac:dyDescent="0.25">
      <c r="C3" s="1159" t="s">
        <v>0</v>
      </c>
      <c r="D3" s="1159"/>
      <c r="E3" s="1159"/>
      <c r="F3" s="1159"/>
      <c r="G3" s="1159"/>
    </row>
    <row r="4" spans="3:7" ht="15.75" thickBot="1" x14ac:dyDescent="0.3"/>
    <row r="5" spans="3:7" ht="26.25" thickBot="1" x14ac:dyDescent="0.3">
      <c r="C5" s="2" t="s">
        <v>2</v>
      </c>
      <c r="D5" s="909" t="s">
        <v>1375</v>
      </c>
      <c r="E5" s="909"/>
      <c r="F5" s="909"/>
      <c r="G5" s="909"/>
    </row>
    <row r="6" spans="3:7" ht="15.75" thickBot="1" x14ac:dyDescent="0.3">
      <c r="C6" s="2" t="s">
        <v>3</v>
      </c>
      <c r="D6" s="910" t="s">
        <v>1376</v>
      </c>
      <c r="E6" s="911"/>
      <c r="F6" s="911"/>
      <c r="G6" s="912"/>
    </row>
    <row r="7" spans="3:7" ht="15.75" thickBot="1" x14ac:dyDescent="0.3">
      <c r="C7" s="2" t="s">
        <v>5</v>
      </c>
      <c r="D7" s="913" t="s">
        <v>6</v>
      </c>
      <c r="E7" s="914"/>
      <c r="F7" s="914"/>
      <c r="G7" s="915"/>
    </row>
    <row r="8" spans="3:7" ht="15.75" thickBot="1" x14ac:dyDescent="0.3">
      <c r="C8" s="916" t="s">
        <v>7</v>
      </c>
      <c r="D8" s="917"/>
      <c r="E8" s="917"/>
      <c r="F8" s="917"/>
      <c r="G8" s="918"/>
    </row>
    <row r="9" spans="3:7" ht="15.75" customHeight="1" thickBot="1" x14ac:dyDescent="0.3">
      <c r="C9" s="906" t="s">
        <v>1377</v>
      </c>
      <c r="D9" s="907"/>
      <c r="E9" s="907"/>
      <c r="F9" s="907"/>
      <c r="G9" s="908"/>
    </row>
    <row r="10" spans="3:7" ht="15.75" thickBot="1" x14ac:dyDescent="0.3">
      <c r="C10" s="906"/>
      <c r="D10" s="907"/>
      <c r="E10" s="907"/>
      <c r="F10" s="907"/>
      <c r="G10" s="908"/>
    </row>
    <row r="11" spans="3:7" ht="15.75" thickBot="1" x14ac:dyDescent="0.3">
      <c r="C11" s="906"/>
      <c r="D11" s="907"/>
      <c r="E11" s="907"/>
      <c r="F11" s="907"/>
      <c r="G11" s="908"/>
    </row>
    <row r="12" spans="3:7" ht="15.75" customHeight="1" thickBot="1" x14ac:dyDescent="0.3">
      <c r="C12" s="3" t="s">
        <v>8</v>
      </c>
      <c r="D12" s="1650" t="s">
        <v>1378</v>
      </c>
      <c r="E12" s="937"/>
      <c r="F12" s="937"/>
      <c r="G12" s="938"/>
    </row>
    <row r="13" spans="3:7" x14ac:dyDescent="0.25">
      <c r="C13" s="919" t="s">
        <v>102</v>
      </c>
      <c r="D13" s="72">
        <v>2018</v>
      </c>
      <c r="E13" s="72">
        <v>2019</v>
      </c>
      <c r="F13" s="72">
        <v>2020</v>
      </c>
      <c r="G13" s="72">
        <v>2021</v>
      </c>
    </row>
    <row r="14" spans="3:7" ht="15.75" thickBot="1" x14ac:dyDescent="0.3">
      <c r="C14" s="920"/>
      <c r="D14" s="741">
        <v>74772</v>
      </c>
      <c r="E14" s="741">
        <v>85645</v>
      </c>
      <c r="F14" s="741">
        <v>82253</v>
      </c>
      <c r="G14" s="741">
        <v>81017</v>
      </c>
    </row>
    <row r="15" spans="3:7" ht="42" customHeight="1" thickBot="1" x14ac:dyDescent="0.3">
      <c r="C15" s="740" t="s">
        <v>1379</v>
      </c>
      <c r="D15" s="84">
        <v>250</v>
      </c>
      <c r="E15" s="84">
        <v>260</v>
      </c>
      <c r="F15" s="84">
        <v>270</v>
      </c>
      <c r="G15" s="84">
        <v>280</v>
      </c>
    </row>
    <row r="16" spans="3:7" ht="38.25" customHeight="1" thickBot="1" x14ac:dyDescent="0.3">
      <c r="C16" s="6" t="s">
        <v>12</v>
      </c>
      <c r="D16" s="924" t="s">
        <v>1380</v>
      </c>
      <c r="E16" s="925"/>
      <c r="F16" s="925"/>
      <c r="G16" s="926"/>
    </row>
    <row r="17" spans="3:7" ht="15.75" thickBot="1" x14ac:dyDescent="0.3">
      <c r="C17" s="927" t="s">
        <v>103</v>
      </c>
      <c r="D17" s="928"/>
      <c r="E17" s="928"/>
      <c r="F17" s="928"/>
      <c r="G17" s="929"/>
    </row>
    <row r="18" spans="3:7" ht="45.75" thickBot="1" x14ac:dyDescent="0.3">
      <c r="C18" s="740" t="s">
        <v>1381</v>
      </c>
      <c r="D18" s="4">
        <v>1</v>
      </c>
      <c r="E18" s="4">
        <v>1</v>
      </c>
      <c r="F18" s="4">
        <v>1</v>
      </c>
      <c r="G18" s="4">
        <v>1</v>
      </c>
    </row>
    <row r="19" spans="3:7" ht="15.75" thickBot="1" x14ac:dyDescent="0.3">
      <c r="C19" s="930" t="s">
        <v>14</v>
      </c>
      <c r="D19" s="931"/>
      <c r="E19" s="931"/>
      <c r="F19" s="931"/>
      <c r="G19" s="932"/>
    </row>
    <row r="20" spans="3:7" ht="15.75" thickBot="1" x14ac:dyDescent="0.3">
      <c r="C20" s="933" t="s">
        <v>104</v>
      </c>
      <c r="D20" s="934"/>
      <c r="E20" s="934"/>
      <c r="F20" s="934"/>
      <c r="G20" s="935"/>
    </row>
    <row r="21" spans="3:7" ht="15.75" thickBot="1" x14ac:dyDescent="0.3">
      <c r="C21" s="7" t="s">
        <v>105</v>
      </c>
      <c r="D21" s="960" t="s">
        <v>1382</v>
      </c>
      <c r="E21" s="937"/>
      <c r="F21" s="937"/>
      <c r="G21" s="938"/>
    </row>
    <row r="22" spans="3:7" ht="40.5" customHeight="1" thickBot="1" x14ac:dyDescent="0.3">
      <c r="C22" s="5" t="s">
        <v>17</v>
      </c>
      <c r="D22" s="927" t="s">
        <v>1383</v>
      </c>
      <c r="E22" s="928"/>
      <c r="F22" s="928"/>
      <c r="G22" s="929"/>
    </row>
    <row r="23" spans="3:7" ht="15.75" thickBot="1" x14ac:dyDescent="0.3">
      <c r="C23" s="5" t="s">
        <v>18</v>
      </c>
      <c r="D23" s="942" t="s">
        <v>106</v>
      </c>
      <c r="E23" s="943"/>
      <c r="F23" s="943"/>
      <c r="G23" s="944"/>
    </row>
    <row r="24" spans="3:7" x14ac:dyDescent="0.25">
      <c r="C24" s="919"/>
      <c r="D24" s="8">
        <v>2018</v>
      </c>
      <c r="E24" s="8">
        <v>2019</v>
      </c>
      <c r="F24" s="8">
        <v>2020</v>
      </c>
      <c r="G24" s="8">
        <v>2021</v>
      </c>
    </row>
    <row r="25" spans="3:7" ht="15.75" thickBot="1" x14ac:dyDescent="0.3">
      <c r="C25" s="920"/>
      <c r="D25" s="9" t="s">
        <v>10</v>
      </c>
      <c r="E25" s="9" t="s">
        <v>11</v>
      </c>
      <c r="F25" s="9" t="s">
        <v>11</v>
      </c>
      <c r="G25" s="9" t="s">
        <v>11</v>
      </c>
    </row>
    <row r="26" spans="3:7" ht="23.25" thickBot="1" x14ac:dyDescent="0.3">
      <c r="C26" s="5" t="s">
        <v>1384</v>
      </c>
      <c r="D26" s="10">
        <v>115</v>
      </c>
      <c r="E26" s="10">
        <v>125</v>
      </c>
      <c r="F26" s="10">
        <v>135</v>
      </c>
      <c r="G26" s="10">
        <v>145</v>
      </c>
    </row>
    <row r="27" spans="3:7" ht="15.75" thickBot="1" x14ac:dyDescent="0.3">
      <c r="C27" s="5" t="s">
        <v>20</v>
      </c>
      <c r="D27" s="10">
        <f>'[9]Formati 2 Politika Ekzistuese'!D27</f>
        <v>74772</v>
      </c>
      <c r="E27" s="10">
        <f>'[9]Formati 2 Politika Ekzistuese'!E27</f>
        <v>78700</v>
      </c>
      <c r="F27" s="10">
        <f>'[9]Formati 2 Politika Ekzistuese'!F27</f>
        <v>78700</v>
      </c>
      <c r="G27" s="10">
        <f>'[9]Formati 2 Politika Ekzistuese'!G27</f>
        <v>78700</v>
      </c>
    </row>
    <row r="28" spans="3:7" ht="15.75" thickBot="1" x14ac:dyDescent="0.3">
      <c r="C28" s="5" t="s">
        <v>21</v>
      </c>
      <c r="D28" s="10">
        <f>D27/D26</f>
        <v>650.19130434782608</v>
      </c>
      <c r="E28" s="10">
        <f t="shared" ref="E28:G28" si="0">E27/E26</f>
        <v>629.6</v>
      </c>
      <c r="F28" s="10">
        <f t="shared" si="0"/>
        <v>582.96296296296293</v>
      </c>
      <c r="G28" s="10">
        <f t="shared" si="0"/>
        <v>542.75862068965512</v>
      </c>
    </row>
    <row r="29" spans="3:7" ht="15.75" thickBot="1" x14ac:dyDescent="0.3">
      <c r="C29" s="5" t="s">
        <v>22</v>
      </c>
      <c r="D29" s="739" t="s">
        <v>23</v>
      </c>
      <c r="E29" s="11">
        <f>E26/D26-1</f>
        <v>8.6956521739130377E-2</v>
      </c>
      <c r="F29" s="11">
        <f t="shared" ref="F29:G31" si="1">F26/E26-1</f>
        <v>8.0000000000000071E-2</v>
      </c>
      <c r="G29" s="11">
        <f t="shared" si="1"/>
        <v>7.4074074074074181E-2</v>
      </c>
    </row>
    <row r="30" spans="3:7" ht="15.75" thickBot="1" x14ac:dyDescent="0.3">
      <c r="C30" s="5" t="s">
        <v>24</v>
      </c>
      <c r="D30" s="739" t="s">
        <v>23</v>
      </c>
      <c r="E30" s="11">
        <f>E27/D27-1</f>
        <v>5.253303375595153E-2</v>
      </c>
      <c r="F30" s="11">
        <f t="shared" si="1"/>
        <v>0</v>
      </c>
      <c r="G30" s="11">
        <f t="shared" si="1"/>
        <v>0</v>
      </c>
    </row>
    <row r="31" spans="3:7" ht="15.75" thickBot="1" x14ac:dyDescent="0.3">
      <c r="C31" s="5" t="s">
        <v>25</v>
      </c>
      <c r="D31" s="739" t="s">
        <v>23</v>
      </c>
      <c r="E31" s="11">
        <f>E28/D28-1</f>
        <v>-3.1669608944524641E-2</v>
      </c>
      <c r="F31" s="11">
        <f t="shared" si="1"/>
        <v>-7.4074074074074181E-2</v>
      </c>
      <c r="G31" s="11">
        <f t="shared" si="1"/>
        <v>-6.8965517241379337E-2</v>
      </c>
    </row>
    <row r="32" spans="3:7" ht="15.75" customHeight="1" thickBot="1" x14ac:dyDescent="0.3">
      <c r="C32" s="945" t="s">
        <v>1031</v>
      </c>
      <c r="D32" s="946"/>
      <c r="E32" s="946"/>
      <c r="F32" s="946"/>
      <c r="G32" s="947"/>
    </row>
    <row r="33" spans="3:7" x14ac:dyDescent="0.25">
      <c r="C33" s="919"/>
      <c r="D33" s="8">
        <v>2018</v>
      </c>
      <c r="E33" s="8">
        <v>2019</v>
      </c>
      <c r="F33" s="8">
        <v>2020</v>
      </c>
      <c r="G33" s="8">
        <v>2021</v>
      </c>
    </row>
    <row r="34" spans="3:7" ht="15.75" thickBot="1" x14ac:dyDescent="0.3">
      <c r="C34" s="920"/>
      <c r="D34" s="9" t="s">
        <v>10</v>
      </c>
      <c r="E34" s="9" t="s">
        <v>11</v>
      </c>
      <c r="F34" s="9" t="s">
        <v>11</v>
      </c>
      <c r="G34" s="9" t="s">
        <v>11</v>
      </c>
    </row>
    <row r="35" spans="3:7" ht="15.75" thickBot="1" x14ac:dyDescent="0.3">
      <c r="C35" s="13" t="s">
        <v>26</v>
      </c>
      <c r="D35" s="14">
        <v>40350</v>
      </c>
      <c r="E35" s="14">
        <v>40400</v>
      </c>
      <c r="F35" s="14">
        <v>40400</v>
      </c>
      <c r="G35" s="14">
        <v>40400</v>
      </c>
    </row>
    <row r="36" spans="3:7" ht="24.75" thickBot="1" x14ac:dyDescent="0.3">
      <c r="C36" s="13" t="s">
        <v>28</v>
      </c>
      <c r="D36" s="14">
        <v>6134</v>
      </c>
      <c r="E36" s="14">
        <v>6600</v>
      </c>
      <c r="F36" s="14">
        <v>6600</v>
      </c>
      <c r="G36" s="14">
        <v>6600</v>
      </c>
    </row>
    <row r="37" spans="3:7" ht="15.75" thickBot="1" x14ac:dyDescent="0.3">
      <c r="C37" s="13" t="s">
        <v>30</v>
      </c>
      <c r="D37" s="15">
        <v>28288</v>
      </c>
      <c r="E37" s="14">
        <v>31700</v>
      </c>
      <c r="F37" s="14">
        <v>31700</v>
      </c>
      <c r="G37" s="14">
        <v>31700</v>
      </c>
    </row>
    <row r="38" spans="3:7" ht="15.75" thickBot="1" x14ac:dyDescent="0.3">
      <c r="C38" s="13" t="s">
        <v>32</v>
      </c>
      <c r="D38" s="15"/>
      <c r="E38" s="14"/>
      <c r="F38" s="14"/>
      <c r="G38" s="14"/>
    </row>
    <row r="39" spans="3:7" ht="15.75" thickBot="1" x14ac:dyDescent="0.3">
      <c r="C39" s="13" t="s">
        <v>34</v>
      </c>
      <c r="D39" s="15"/>
      <c r="E39" s="14"/>
      <c r="F39" s="14"/>
      <c r="G39" s="14"/>
    </row>
    <row r="40" spans="3:7" ht="15.75" thickBot="1" x14ac:dyDescent="0.3">
      <c r="C40" s="13" t="s">
        <v>36</v>
      </c>
      <c r="D40" s="15"/>
      <c r="E40" s="14"/>
      <c r="F40" s="14"/>
      <c r="G40" s="14"/>
    </row>
    <row r="41" spans="3:7" ht="24.75" thickBot="1" x14ac:dyDescent="0.3">
      <c r="C41" s="13" t="s">
        <v>38</v>
      </c>
      <c r="D41" s="15"/>
      <c r="E41" s="14"/>
      <c r="F41" s="14"/>
      <c r="G41" s="14"/>
    </row>
    <row r="42" spans="3:7" ht="15.75" thickBot="1" x14ac:dyDescent="0.3">
      <c r="C42" s="16" t="s">
        <v>40</v>
      </c>
      <c r="D42" s="15">
        <f>D41+D40+D39+D38+D37+D36+D35</f>
        <v>74772</v>
      </c>
      <c r="E42" s="15">
        <f>E41+E40+E39+E38+E37+E36+E35</f>
        <v>78700</v>
      </c>
      <c r="F42" s="15">
        <f>F41+F40+F39+F38+F37+F36+F35</f>
        <v>78700</v>
      </c>
      <c r="G42" s="15">
        <f>G41+G40+G39+G38+G37+G36+G35</f>
        <v>78700</v>
      </c>
    </row>
    <row r="43" spans="3:7" ht="15.75" thickBot="1" x14ac:dyDescent="0.3">
      <c r="C43" s="17" t="s">
        <v>41</v>
      </c>
      <c r="D43" s="18">
        <f>IF(D42-D27=0,0,"Error")</f>
        <v>0</v>
      </c>
      <c r="E43" s="18">
        <f>IF(E42-E27=0,0,"Error")</f>
        <v>0</v>
      </c>
      <c r="F43" s="18">
        <f>IF(F42-F27=0,0,"Error")</f>
        <v>0</v>
      </c>
      <c r="G43" s="18">
        <f>IF(G42-G27=0,0,"Error")</f>
        <v>0</v>
      </c>
    </row>
    <row r="44" spans="3:7" ht="15.75" thickBot="1" x14ac:dyDescent="0.3">
      <c r="C44" s="634" t="s">
        <v>1043</v>
      </c>
      <c r="D44" s="960" t="s">
        <v>106</v>
      </c>
      <c r="E44" s="937"/>
      <c r="F44" s="937"/>
      <c r="G44" s="938"/>
    </row>
    <row r="45" spans="3:7" ht="15.75" thickBot="1" x14ac:dyDescent="0.3">
      <c r="C45" s="5" t="s">
        <v>17</v>
      </c>
      <c r="D45" s="927" t="s">
        <v>106</v>
      </c>
      <c r="E45" s="928"/>
      <c r="F45" s="928"/>
      <c r="G45" s="929"/>
    </row>
    <row r="46" spans="3:7" ht="15.75" thickBot="1" x14ac:dyDescent="0.3">
      <c r="C46" s="5" t="s">
        <v>18</v>
      </c>
      <c r="D46" s="942" t="s">
        <v>106</v>
      </c>
      <c r="E46" s="943"/>
      <c r="F46" s="943"/>
      <c r="G46" s="944"/>
    </row>
    <row r="47" spans="3:7" ht="15.75" thickBot="1" x14ac:dyDescent="0.3">
      <c r="C47" s="5" t="s">
        <v>19</v>
      </c>
      <c r="D47" s="10"/>
      <c r="E47" s="10"/>
      <c r="F47" s="10"/>
      <c r="G47" s="10"/>
    </row>
    <row r="48" spans="3:7" x14ac:dyDescent="0.25">
      <c r="C48" s="919"/>
      <c r="D48" s="8">
        <v>2018</v>
      </c>
      <c r="E48" s="8">
        <v>2019</v>
      </c>
      <c r="F48" s="8">
        <v>2020</v>
      </c>
      <c r="G48" s="8">
        <v>2021</v>
      </c>
    </row>
    <row r="49" spans="3:7" ht="15.75" thickBot="1" x14ac:dyDescent="0.3">
      <c r="C49" s="920"/>
      <c r="D49" s="9" t="s">
        <v>10</v>
      </c>
      <c r="E49" s="9" t="s">
        <v>11</v>
      </c>
      <c r="F49" s="9" t="s">
        <v>11</v>
      </c>
      <c r="G49" s="9" t="s">
        <v>11</v>
      </c>
    </row>
    <row r="50" spans="3:7" ht="15.75" thickBot="1" x14ac:dyDescent="0.3">
      <c r="C50" s="5" t="s">
        <v>20</v>
      </c>
      <c r="D50" s="10"/>
      <c r="E50" s="10"/>
      <c r="F50" s="10"/>
      <c r="G50" s="10"/>
    </row>
    <row r="51" spans="3:7" ht="15.75" thickBot="1" x14ac:dyDescent="0.3">
      <c r="C51" s="5" t="s">
        <v>21</v>
      </c>
      <c r="D51" s="10" t="e">
        <f>D50/D47</f>
        <v>#DIV/0!</v>
      </c>
      <c r="E51" s="10" t="e">
        <f>E50/E47</f>
        <v>#DIV/0!</v>
      </c>
      <c r="F51" s="10" t="e">
        <f>F50/F47</f>
        <v>#DIV/0!</v>
      </c>
      <c r="G51" s="10" t="e">
        <f>G50/G47</f>
        <v>#DIV/0!</v>
      </c>
    </row>
    <row r="52" spans="3:7" ht="15.75" thickBot="1" x14ac:dyDescent="0.3">
      <c r="C52" s="5" t="s">
        <v>22</v>
      </c>
      <c r="D52" s="739"/>
      <c r="E52" s="11" t="e">
        <f>E47/D47-1</f>
        <v>#DIV/0!</v>
      </c>
      <c r="F52" s="11" t="e">
        <f>F47/E47-1</f>
        <v>#DIV/0!</v>
      </c>
      <c r="G52" s="11" t="e">
        <f>G47/F47-1</f>
        <v>#DIV/0!</v>
      </c>
    </row>
    <row r="53" spans="3:7" ht="15.75" thickBot="1" x14ac:dyDescent="0.3">
      <c r="C53" s="5" t="s">
        <v>24</v>
      </c>
      <c r="D53" s="739"/>
      <c r="E53" s="11" t="e">
        <f>E50/D50-1</f>
        <v>#DIV/0!</v>
      </c>
      <c r="F53" s="11" t="e">
        <f t="shared" ref="F53:G54" si="2">F50/E50-1</f>
        <v>#DIV/0!</v>
      </c>
      <c r="G53" s="11" t="e">
        <f t="shared" si="2"/>
        <v>#DIV/0!</v>
      </c>
    </row>
    <row r="54" spans="3:7" ht="15.75" thickBot="1" x14ac:dyDescent="0.3">
      <c r="C54" s="5" t="s">
        <v>25</v>
      </c>
      <c r="D54" s="739"/>
      <c r="E54" s="11" t="e">
        <f>E51/D51-1</f>
        <v>#DIV/0!</v>
      </c>
      <c r="F54" s="11" t="e">
        <f t="shared" si="2"/>
        <v>#DIV/0!</v>
      </c>
      <c r="G54" s="11" t="e">
        <f t="shared" si="2"/>
        <v>#DIV/0!</v>
      </c>
    </row>
    <row r="55" spans="3:7" ht="15.75" customHeight="1" thickBot="1" x14ac:dyDescent="0.3">
      <c r="C55" s="945" t="s">
        <v>1509</v>
      </c>
      <c r="D55" s="946"/>
      <c r="E55" s="946"/>
      <c r="F55" s="946"/>
      <c r="G55" s="947"/>
    </row>
    <row r="56" spans="3:7" x14ac:dyDescent="0.25">
      <c r="C56" s="919"/>
      <c r="D56" s="8">
        <v>2018</v>
      </c>
      <c r="E56" s="8">
        <v>2019</v>
      </c>
      <c r="F56" s="8">
        <v>2020</v>
      </c>
      <c r="G56" s="8">
        <v>2021</v>
      </c>
    </row>
    <row r="57" spans="3:7" ht="15.75" thickBot="1" x14ac:dyDescent="0.3">
      <c r="C57" s="920"/>
      <c r="D57" s="9" t="s">
        <v>10</v>
      </c>
      <c r="E57" s="9" t="s">
        <v>11</v>
      </c>
      <c r="F57" s="9" t="s">
        <v>11</v>
      </c>
      <c r="G57" s="9" t="s">
        <v>11</v>
      </c>
    </row>
    <row r="58" spans="3:7" ht="15.75" thickBot="1" x14ac:dyDescent="0.3">
      <c r="C58" s="13" t="s">
        <v>26</v>
      </c>
      <c r="D58" s="14"/>
      <c r="E58" s="14"/>
      <c r="F58" s="14"/>
      <c r="G58" s="14"/>
    </row>
    <row r="59" spans="3:7" ht="24.75" thickBot="1" x14ac:dyDescent="0.3">
      <c r="C59" s="13" t="s">
        <v>28</v>
      </c>
      <c r="D59" s="14"/>
      <c r="E59" s="14"/>
      <c r="F59" s="14"/>
      <c r="G59" s="14"/>
    </row>
    <row r="60" spans="3:7" ht="15.75" thickBot="1" x14ac:dyDescent="0.3">
      <c r="C60" s="13" t="s">
        <v>30</v>
      </c>
      <c r="D60" s="15"/>
      <c r="E60" s="14"/>
      <c r="F60" s="14"/>
      <c r="G60" s="14"/>
    </row>
    <row r="61" spans="3:7" ht="15.75" thickBot="1" x14ac:dyDescent="0.3">
      <c r="C61" s="13" t="s">
        <v>32</v>
      </c>
      <c r="D61" s="15"/>
      <c r="E61" s="14"/>
      <c r="F61" s="14"/>
      <c r="G61" s="14"/>
    </row>
    <row r="62" spans="3:7" ht="15.75" thickBot="1" x14ac:dyDescent="0.3">
      <c r="C62" s="13" t="s">
        <v>34</v>
      </c>
      <c r="D62" s="15"/>
      <c r="E62" s="14"/>
      <c r="F62" s="14"/>
      <c r="G62" s="14"/>
    </row>
    <row r="63" spans="3:7" ht="15.75" thickBot="1" x14ac:dyDescent="0.3">
      <c r="C63" s="13" t="s">
        <v>36</v>
      </c>
      <c r="D63" s="15"/>
      <c r="E63" s="14"/>
      <c r="F63" s="14"/>
      <c r="G63" s="14"/>
    </row>
    <row r="64" spans="3:7" ht="24.75" thickBot="1" x14ac:dyDescent="0.3">
      <c r="C64" s="13" t="s">
        <v>38</v>
      </c>
      <c r="D64" s="15"/>
      <c r="E64" s="14"/>
      <c r="F64" s="14"/>
      <c r="G64" s="14"/>
    </row>
    <row r="65" spans="3:7" ht="15.75" thickBot="1" x14ac:dyDescent="0.3">
      <c r="C65" s="630" t="s">
        <v>74</v>
      </c>
      <c r="D65" s="15">
        <f>D64+D63+D62+D61+D60+D59+D58</f>
        <v>0</v>
      </c>
      <c r="E65" s="15">
        <f>E64+E63+E62+E61+E60+E59+E58</f>
        <v>0</v>
      </c>
      <c r="F65" s="15">
        <f>F64+F63+F62+F61+F60+F59+F58</f>
        <v>0</v>
      </c>
      <c r="G65" s="15">
        <f>G64+G63+G62+G61+G60+G59+G58</f>
        <v>0</v>
      </c>
    </row>
    <row r="66" spans="3:7" ht="15.75" thickBot="1" x14ac:dyDescent="0.3">
      <c r="C66" s="17" t="s">
        <v>41</v>
      </c>
      <c r="D66" s="18">
        <f>IF(D65-D50=0,0,"Error")</f>
        <v>0</v>
      </c>
      <c r="E66" s="18">
        <f>IF(E65-E50=0,0,"Error")</f>
        <v>0</v>
      </c>
      <c r="F66" s="18">
        <f>IF(F65-F50=0,0,"Error")</f>
        <v>0</v>
      </c>
      <c r="G66" s="18">
        <f>IF(G65-G50=0,0,"Error")</f>
        <v>0</v>
      </c>
    </row>
    <row r="67" spans="3:7" ht="15.75" thickBot="1" x14ac:dyDescent="0.3">
      <c r="C67" s="933" t="s">
        <v>63</v>
      </c>
      <c r="D67" s="934"/>
      <c r="E67" s="934"/>
      <c r="F67" s="934"/>
      <c r="G67" s="935"/>
    </row>
    <row r="68" spans="3:7" ht="15.75" thickBot="1" x14ac:dyDescent="0.3">
      <c r="C68" s="933" t="s">
        <v>56</v>
      </c>
      <c r="D68" s="934"/>
      <c r="E68" s="934"/>
      <c r="F68" s="934"/>
      <c r="G68" s="935"/>
    </row>
    <row r="69" spans="3:7" ht="15.75" thickBot="1" x14ac:dyDescent="0.3">
      <c r="C69" s="20" t="s">
        <v>79</v>
      </c>
      <c r="D69" s="961" t="s">
        <v>130</v>
      </c>
      <c r="E69" s="962"/>
      <c r="F69" s="962"/>
      <c r="G69" s="963"/>
    </row>
    <row r="70" spans="3:7" ht="15.75" thickBot="1" x14ac:dyDescent="0.3">
      <c r="C70" s="7" t="s">
        <v>16</v>
      </c>
      <c r="D70" s="960" t="s">
        <v>1382</v>
      </c>
      <c r="E70" s="937"/>
      <c r="F70" s="937"/>
      <c r="G70" s="938"/>
    </row>
    <row r="71" spans="3:7" ht="40.5" customHeight="1" thickBot="1" x14ac:dyDescent="0.3">
      <c r="C71" s="5" t="s">
        <v>17</v>
      </c>
      <c r="D71" s="927" t="s">
        <v>1383</v>
      </c>
      <c r="E71" s="928"/>
      <c r="F71" s="928"/>
      <c r="G71" s="929"/>
    </row>
    <row r="72" spans="3:7" ht="15.75" thickBot="1" x14ac:dyDescent="0.3">
      <c r="C72" s="5" t="s">
        <v>18</v>
      </c>
      <c r="D72" s="942" t="s">
        <v>1385</v>
      </c>
      <c r="E72" s="943"/>
      <c r="F72" s="943"/>
      <c r="G72" s="944"/>
    </row>
    <row r="73" spans="3:7" x14ac:dyDescent="0.25">
      <c r="C73" s="919"/>
      <c r="D73" s="8">
        <v>2018</v>
      </c>
      <c r="E73" s="8">
        <v>2019</v>
      </c>
      <c r="F73" s="8">
        <v>2020</v>
      </c>
      <c r="G73" s="8">
        <v>2021</v>
      </c>
    </row>
    <row r="74" spans="3:7" ht="15.75" thickBot="1" x14ac:dyDescent="0.3">
      <c r="C74" s="920"/>
      <c r="D74" s="9"/>
      <c r="E74" s="9" t="s">
        <v>11</v>
      </c>
      <c r="F74" s="9" t="s">
        <v>11</v>
      </c>
      <c r="G74" s="9" t="s">
        <v>11</v>
      </c>
    </row>
    <row r="75" spans="3:7" ht="15.75" thickBot="1" x14ac:dyDescent="0.3">
      <c r="C75" s="5" t="s">
        <v>19</v>
      </c>
      <c r="D75" s="10">
        <v>115</v>
      </c>
      <c r="E75" s="10">
        <v>125</v>
      </c>
      <c r="F75" s="10">
        <v>135</v>
      </c>
      <c r="G75" s="10">
        <v>145</v>
      </c>
    </row>
    <row r="76" spans="3:7" ht="15.75" thickBot="1" x14ac:dyDescent="0.3">
      <c r="C76" s="5" t="s">
        <v>20</v>
      </c>
      <c r="D76" s="10"/>
      <c r="E76" s="10">
        <v>10357</v>
      </c>
      <c r="F76" s="10">
        <v>6965</v>
      </c>
      <c r="G76" s="10">
        <v>5729</v>
      </c>
    </row>
    <row r="77" spans="3:7" ht="15.75" thickBot="1" x14ac:dyDescent="0.3">
      <c r="C77" s="5" t="s">
        <v>21</v>
      </c>
      <c r="D77" s="10">
        <f>D76/D75</f>
        <v>0</v>
      </c>
      <c r="E77" s="10">
        <f t="shared" ref="E77:G77" si="3">E76/E75</f>
        <v>82.855999999999995</v>
      </c>
      <c r="F77" s="10">
        <f t="shared" si="3"/>
        <v>51.592592592592595</v>
      </c>
      <c r="G77" s="10">
        <f t="shared" si="3"/>
        <v>39.510344827586209</v>
      </c>
    </row>
    <row r="78" spans="3:7" ht="15.75" thickBot="1" x14ac:dyDescent="0.3">
      <c r="C78" s="5" t="s">
        <v>22</v>
      </c>
      <c r="D78" s="739" t="s">
        <v>23</v>
      </c>
      <c r="E78" s="11">
        <f>E75/D75-1</f>
        <v>8.6956521739130377E-2</v>
      </c>
      <c r="F78" s="11">
        <f t="shared" ref="F78:G80" si="4">F75/E75-1</f>
        <v>8.0000000000000071E-2</v>
      </c>
      <c r="G78" s="11">
        <f t="shared" si="4"/>
        <v>7.4074074074074181E-2</v>
      </c>
    </row>
    <row r="79" spans="3:7" ht="15.75" thickBot="1" x14ac:dyDescent="0.3">
      <c r="C79" s="5" t="s">
        <v>24</v>
      </c>
      <c r="D79" s="739" t="s">
        <v>23</v>
      </c>
      <c r="E79" s="11" t="e">
        <f>E76/D76-1</f>
        <v>#DIV/0!</v>
      </c>
      <c r="F79" s="11">
        <f t="shared" si="4"/>
        <v>-0.32750796562711215</v>
      </c>
      <c r="G79" s="11">
        <f t="shared" si="4"/>
        <v>-0.17745872218234027</v>
      </c>
    </row>
    <row r="80" spans="3:7" ht="15.75" thickBot="1" x14ac:dyDescent="0.3">
      <c r="C80" s="5" t="s">
        <v>25</v>
      </c>
      <c r="D80" s="739" t="s">
        <v>23</v>
      </c>
      <c r="E80" s="11" t="e">
        <f>E77/D77-1</f>
        <v>#DIV/0!</v>
      </c>
      <c r="F80" s="11">
        <f t="shared" si="4"/>
        <v>-0.3773221903954741</v>
      </c>
      <c r="G80" s="11">
        <f t="shared" si="4"/>
        <v>-0.2341857068594202</v>
      </c>
    </row>
    <row r="81" spans="3:7" ht="15.75" customHeight="1" thickBot="1" x14ac:dyDescent="0.3">
      <c r="C81" s="945" t="s">
        <v>1031</v>
      </c>
      <c r="D81" s="946"/>
      <c r="E81" s="946"/>
      <c r="F81" s="946"/>
      <c r="G81" s="947"/>
    </row>
    <row r="82" spans="3:7" x14ac:dyDescent="0.25">
      <c r="C82" s="919"/>
      <c r="D82" s="8">
        <v>2018</v>
      </c>
      <c r="E82" s="8">
        <v>2019</v>
      </c>
      <c r="F82" s="8">
        <v>2020</v>
      </c>
      <c r="G82" s="8">
        <v>2021</v>
      </c>
    </row>
    <row r="83" spans="3:7" ht="15.75" thickBot="1" x14ac:dyDescent="0.3">
      <c r="C83" s="920"/>
      <c r="D83" s="9" t="s">
        <v>10</v>
      </c>
      <c r="E83" s="9" t="s">
        <v>11</v>
      </c>
      <c r="F83" s="9" t="s">
        <v>11</v>
      </c>
      <c r="G83" s="9" t="s">
        <v>11</v>
      </c>
    </row>
    <row r="84" spans="3:7" ht="15.75" thickBot="1" x14ac:dyDescent="0.3">
      <c r="C84" s="13" t="s">
        <v>58</v>
      </c>
      <c r="D84" s="14"/>
      <c r="E84" s="14"/>
      <c r="F84" s="14"/>
      <c r="G84" s="14"/>
    </row>
    <row r="85" spans="3:7" ht="15.75" thickBot="1" x14ac:dyDescent="0.3">
      <c r="C85" s="13" t="s">
        <v>59</v>
      </c>
      <c r="D85" s="15"/>
      <c r="E85" s="10">
        <v>10357</v>
      </c>
      <c r="F85" s="10">
        <v>6965</v>
      </c>
      <c r="G85" s="10">
        <v>5729</v>
      </c>
    </row>
    <row r="86" spans="3:7" ht="15.75" thickBot="1" x14ac:dyDescent="0.3">
      <c r="C86" s="16" t="s">
        <v>40</v>
      </c>
      <c r="D86" s="15">
        <f>D85+D84</f>
        <v>0</v>
      </c>
      <c r="E86" s="15">
        <f t="shared" ref="E86:G86" si="5">E85+E84</f>
        <v>10357</v>
      </c>
      <c r="F86" s="15">
        <f t="shared" si="5"/>
        <v>6965</v>
      </c>
      <c r="G86" s="15">
        <f t="shared" si="5"/>
        <v>5729</v>
      </c>
    </row>
    <row r="87" spans="3:7" ht="15" customHeight="1" x14ac:dyDescent="0.25">
      <c r="C87" s="948" t="s">
        <v>60</v>
      </c>
      <c r="D87" s="951"/>
      <c r="E87" s="952"/>
      <c r="F87" s="952"/>
      <c r="G87" s="953"/>
    </row>
    <row r="88" spans="3:7" x14ac:dyDescent="0.25">
      <c r="C88" s="949"/>
      <c r="D88" s="954"/>
      <c r="E88" s="955"/>
      <c r="F88" s="955"/>
      <c r="G88" s="956"/>
    </row>
    <row r="89" spans="3:7" ht="15.75" thickBot="1" x14ac:dyDescent="0.3">
      <c r="C89" s="950"/>
      <c r="D89" s="957"/>
      <c r="E89" s="958"/>
      <c r="F89" s="958"/>
      <c r="G89" s="959"/>
    </row>
    <row r="90" spans="3:7" ht="15.75" thickBot="1" x14ac:dyDescent="0.3">
      <c r="C90" s="16" t="s">
        <v>74</v>
      </c>
      <c r="D90" s="15" t="e">
        <f>#REF!+#REF!</f>
        <v>#REF!</v>
      </c>
      <c r="E90" s="15" t="e">
        <f>#REF!+#REF!</f>
        <v>#REF!</v>
      </c>
      <c r="F90" s="15" t="e">
        <f>#REF!+#REF!</f>
        <v>#REF!</v>
      </c>
      <c r="G90" s="15" t="e">
        <f>#REF!+#REF!</f>
        <v>#REF!</v>
      </c>
    </row>
    <row r="91" spans="3:7" ht="15.75" thickBot="1" x14ac:dyDescent="0.3">
      <c r="C91" s="22"/>
      <c r="D91" s="23"/>
      <c r="E91" s="23"/>
      <c r="F91" s="23"/>
      <c r="G91" s="23"/>
    </row>
    <row r="92" spans="3:7" ht="36.75" thickBot="1" x14ac:dyDescent="0.3">
      <c r="C92" s="6" t="s">
        <v>82</v>
      </c>
      <c r="D92" s="24">
        <f>D76+D50+D27</f>
        <v>74772</v>
      </c>
      <c r="E92" s="24">
        <f t="shared" ref="E92:G92" si="6">E76+E50+E27</f>
        <v>89057</v>
      </c>
      <c r="F92" s="24">
        <f t="shared" si="6"/>
        <v>85665</v>
      </c>
      <c r="G92" s="24">
        <f t="shared" si="6"/>
        <v>84429</v>
      </c>
    </row>
    <row r="93" spans="3:7" ht="24.75" thickBot="1" x14ac:dyDescent="0.3">
      <c r="C93" s="6" t="s">
        <v>83</v>
      </c>
      <c r="D93" s="24">
        <f>D95+D97+D99+D101+D103+D105+D107+D109+D111</f>
        <v>74772</v>
      </c>
      <c r="E93" s="24">
        <f>E95+E97+E99+E101+E103+E105+E107+E109+E111</f>
        <v>89057</v>
      </c>
      <c r="F93" s="24">
        <f>F95+F97+F99+F101+F103+F105+F107+F109+F111</f>
        <v>85665</v>
      </c>
      <c r="G93" s="24">
        <f>G95+G97+G99+G101+G103+G105+G107+G109+G111</f>
        <v>84429</v>
      </c>
    </row>
    <row r="94" spans="3:7" ht="24.75" thickBot="1" x14ac:dyDescent="0.3">
      <c r="C94" s="25" t="s">
        <v>84</v>
      </c>
      <c r="D94" s="26"/>
      <c r="E94" s="27">
        <f>E93/D93-1</f>
        <v>0.19104745091745579</v>
      </c>
      <c r="F94" s="27">
        <f t="shared" ref="F94:G94" si="7">F93/E93-1</f>
        <v>-3.8087966134048967E-2</v>
      </c>
      <c r="G94" s="27">
        <f t="shared" si="7"/>
        <v>-1.4428296270355467E-2</v>
      </c>
    </row>
    <row r="95" spans="3:7" ht="15.75" thickBot="1" x14ac:dyDescent="0.3">
      <c r="C95" s="13" t="s">
        <v>26</v>
      </c>
      <c r="D95" s="14">
        <f>D58+D35</f>
        <v>40350</v>
      </c>
      <c r="E95" s="14">
        <f t="shared" ref="E95:G95" si="8">E58+E35</f>
        <v>40400</v>
      </c>
      <c r="F95" s="14">
        <f t="shared" si="8"/>
        <v>40400</v>
      </c>
      <c r="G95" s="14">
        <f t="shared" si="8"/>
        <v>40400</v>
      </c>
    </row>
    <row r="96" spans="3:7" ht="15.75" thickBot="1" x14ac:dyDescent="0.3">
      <c r="C96" s="28" t="s">
        <v>85</v>
      </c>
      <c r="D96" s="15"/>
      <c r="E96" s="29">
        <f>E95/D95-1</f>
        <v>1.2391573729864103E-3</v>
      </c>
      <c r="F96" s="29">
        <f t="shared" ref="F96:G96" si="9">F95/E95-1</f>
        <v>0</v>
      </c>
      <c r="G96" s="29">
        <f t="shared" si="9"/>
        <v>0</v>
      </c>
    </row>
    <row r="97" spans="3:7" ht="24.75" thickBot="1" x14ac:dyDescent="0.3">
      <c r="C97" s="13" t="s">
        <v>28</v>
      </c>
      <c r="D97" s="14">
        <f>D59+D36</f>
        <v>6134</v>
      </c>
      <c r="E97" s="14">
        <f t="shared" ref="E97:G97" si="10">E59+E36</f>
        <v>6600</v>
      </c>
      <c r="F97" s="14">
        <f t="shared" si="10"/>
        <v>6600</v>
      </c>
      <c r="G97" s="14">
        <f t="shared" si="10"/>
        <v>6600</v>
      </c>
    </row>
    <row r="98" spans="3:7" ht="24.75" thickBot="1" x14ac:dyDescent="0.3">
      <c r="C98" s="28" t="s">
        <v>86</v>
      </c>
      <c r="D98" s="15"/>
      <c r="E98" s="29">
        <f>E97/D97-1</f>
        <v>7.5970003260515062E-2</v>
      </c>
      <c r="F98" s="29">
        <f t="shared" ref="F98:G98" si="11">F97/E97-1</f>
        <v>0</v>
      </c>
      <c r="G98" s="29">
        <f t="shared" si="11"/>
        <v>0</v>
      </c>
    </row>
    <row r="99" spans="3:7" ht="15.75" thickBot="1" x14ac:dyDescent="0.3">
      <c r="C99" s="13" t="s">
        <v>30</v>
      </c>
      <c r="D99" s="14">
        <f>D60+D37</f>
        <v>28288</v>
      </c>
      <c r="E99" s="14">
        <f t="shared" ref="E99:G99" si="12">E60+E37</f>
        <v>31700</v>
      </c>
      <c r="F99" s="14">
        <f t="shared" si="12"/>
        <v>31700</v>
      </c>
      <c r="G99" s="14">
        <f t="shared" si="12"/>
        <v>31700</v>
      </c>
    </row>
    <row r="100" spans="3:7" ht="24.75" thickBot="1" x14ac:dyDescent="0.3">
      <c r="C100" s="28" t="s">
        <v>87</v>
      </c>
      <c r="D100" s="15"/>
      <c r="E100" s="29">
        <f>E99/D99-1</f>
        <v>0.12061651583710398</v>
      </c>
      <c r="F100" s="29">
        <f t="shared" ref="F100:G100" si="13">F99/E99-1</f>
        <v>0</v>
      </c>
      <c r="G100" s="29">
        <f t="shared" si="13"/>
        <v>0</v>
      </c>
    </row>
    <row r="101" spans="3:7" ht="15.75" thickBot="1" x14ac:dyDescent="0.3">
      <c r="C101" s="13" t="s">
        <v>32</v>
      </c>
      <c r="D101" s="14">
        <f>D61+D38</f>
        <v>0</v>
      </c>
      <c r="E101" s="14">
        <f t="shared" ref="E101:G101" si="14">E61+E38</f>
        <v>0</v>
      </c>
      <c r="F101" s="14">
        <f t="shared" si="14"/>
        <v>0</v>
      </c>
      <c r="G101" s="14">
        <f t="shared" si="14"/>
        <v>0</v>
      </c>
    </row>
    <row r="102" spans="3:7" ht="15.75" thickBot="1" x14ac:dyDescent="0.3">
      <c r="C102" s="28" t="s">
        <v>88</v>
      </c>
      <c r="D102" s="15"/>
      <c r="E102" s="29" t="e">
        <f>E101/D101-1</f>
        <v>#DIV/0!</v>
      </c>
      <c r="F102" s="29" t="e">
        <f t="shared" ref="F102:G102" si="15">F101/E101-1</f>
        <v>#DIV/0!</v>
      </c>
      <c r="G102" s="29" t="e">
        <f t="shared" si="15"/>
        <v>#DIV/0!</v>
      </c>
    </row>
    <row r="103" spans="3:7" ht="15.75" thickBot="1" x14ac:dyDescent="0.3">
      <c r="C103" s="13" t="s">
        <v>34</v>
      </c>
      <c r="D103" s="14">
        <f>D62+D39</f>
        <v>0</v>
      </c>
      <c r="E103" s="14">
        <f t="shared" ref="E103:G103" si="16">E62+E39</f>
        <v>0</v>
      </c>
      <c r="F103" s="14">
        <f t="shared" si="16"/>
        <v>0</v>
      </c>
      <c r="G103" s="14">
        <f t="shared" si="16"/>
        <v>0</v>
      </c>
    </row>
    <row r="104" spans="3:7" ht="24.75" thickBot="1" x14ac:dyDescent="0.3">
      <c r="C104" s="28" t="s">
        <v>89</v>
      </c>
      <c r="D104" s="15"/>
      <c r="E104" s="29" t="e">
        <f>E103/D103-1</f>
        <v>#DIV/0!</v>
      </c>
      <c r="F104" s="29" t="e">
        <f t="shared" ref="F104:G104" si="17">F103/E103-1</f>
        <v>#DIV/0!</v>
      </c>
      <c r="G104" s="29" t="e">
        <f t="shared" si="17"/>
        <v>#DIV/0!</v>
      </c>
    </row>
    <row r="105" spans="3:7" ht="15.75" thickBot="1" x14ac:dyDescent="0.3">
      <c r="C105" s="13" t="s">
        <v>36</v>
      </c>
      <c r="D105" s="14">
        <f>D63+D40</f>
        <v>0</v>
      </c>
      <c r="E105" s="14">
        <f t="shared" ref="E105:G105" si="18">E63+E40</f>
        <v>0</v>
      </c>
      <c r="F105" s="14">
        <f t="shared" si="18"/>
        <v>0</v>
      </c>
      <c r="G105" s="14">
        <f t="shared" si="18"/>
        <v>0</v>
      </c>
    </row>
    <row r="106" spans="3:7" ht="24.75" thickBot="1" x14ac:dyDescent="0.3">
      <c r="C106" s="28" t="s">
        <v>90</v>
      </c>
      <c r="D106" s="15"/>
      <c r="E106" s="29" t="e">
        <f>E105/D105-1</f>
        <v>#DIV/0!</v>
      </c>
      <c r="F106" s="29" t="e">
        <f t="shared" ref="F106:G106" si="19">F105/E105-1</f>
        <v>#DIV/0!</v>
      </c>
      <c r="G106" s="29" t="e">
        <f t="shared" si="19"/>
        <v>#DIV/0!</v>
      </c>
    </row>
    <row r="107" spans="3:7" ht="24.75" thickBot="1" x14ac:dyDescent="0.3">
      <c r="C107" s="13" t="s">
        <v>38</v>
      </c>
      <c r="D107" s="14">
        <f>D64+D41</f>
        <v>0</v>
      </c>
      <c r="E107" s="14">
        <f t="shared" ref="E107:G107" si="20">E64+E41</f>
        <v>0</v>
      </c>
      <c r="F107" s="14">
        <f t="shared" si="20"/>
        <v>0</v>
      </c>
      <c r="G107" s="14">
        <f t="shared" si="20"/>
        <v>0</v>
      </c>
    </row>
    <row r="108" spans="3:7" ht="24.75" thickBot="1" x14ac:dyDescent="0.3">
      <c r="C108" s="28" t="s">
        <v>91</v>
      </c>
      <c r="D108" s="15"/>
      <c r="E108" s="29" t="e">
        <f>E107/D107-1</f>
        <v>#DIV/0!</v>
      </c>
      <c r="F108" s="29" t="e">
        <f t="shared" ref="F108:G108" si="21">F107/E107-1</f>
        <v>#DIV/0!</v>
      </c>
      <c r="G108" s="29" t="e">
        <f t="shared" si="21"/>
        <v>#DIV/0!</v>
      </c>
    </row>
    <row r="109" spans="3:7" ht="15.75" thickBot="1" x14ac:dyDescent="0.3">
      <c r="C109" s="13" t="s">
        <v>92</v>
      </c>
      <c r="D109" s="14">
        <f>D84</f>
        <v>0</v>
      </c>
      <c r="E109" s="14">
        <f t="shared" ref="E109:G109" si="22">E84</f>
        <v>0</v>
      </c>
      <c r="F109" s="14">
        <f t="shared" si="22"/>
        <v>0</v>
      </c>
      <c r="G109" s="14">
        <f t="shared" si="22"/>
        <v>0</v>
      </c>
    </row>
    <row r="110" spans="3:7" ht="24.75" thickBot="1" x14ac:dyDescent="0.3">
      <c r="C110" s="28" t="s">
        <v>93</v>
      </c>
      <c r="D110" s="15"/>
      <c r="E110" s="29" t="e">
        <f>E109/D109-1</f>
        <v>#DIV/0!</v>
      </c>
      <c r="F110" s="29" t="e">
        <f t="shared" ref="F110:G110" si="23">F109/E109-1</f>
        <v>#DIV/0!</v>
      </c>
      <c r="G110" s="29" t="e">
        <f t="shared" si="23"/>
        <v>#DIV/0!</v>
      </c>
    </row>
    <row r="111" spans="3:7" ht="15.75" thickBot="1" x14ac:dyDescent="0.3">
      <c r="C111" s="13" t="s">
        <v>94</v>
      </c>
      <c r="D111" s="14">
        <f>D85</f>
        <v>0</v>
      </c>
      <c r="E111" s="14">
        <f t="shared" ref="E111:G111" si="24">E85</f>
        <v>10357</v>
      </c>
      <c r="F111" s="14">
        <f t="shared" si="24"/>
        <v>6965</v>
      </c>
      <c r="G111" s="14">
        <f t="shared" si="24"/>
        <v>5729</v>
      </c>
    </row>
    <row r="112" spans="3:7" ht="24.75" thickBot="1" x14ac:dyDescent="0.3">
      <c r="C112" s="28" t="s">
        <v>95</v>
      </c>
      <c r="D112" s="15"/>
      <c r="E112" s="29" t="e">
        <f>E111/D111-1</f>
        <v>#DIV/0!</v>
      </c>
      <c r="F112" s="29">
        <f t="shared" ref="F112:G112" si="25">F111/E111-1</f>
        <v>-0.32750796562711215</v>
      </c>
      <c r="G112" s="29">
        <f t="shared" si="25"/>
        <v>-0.17745872218234027</v>
      </c>
    </row>
    <row r="113" spans="3:7" ht="15.75" thickBot="1" x14ac:dyDescent="0.3">
      <c r="C113" s="17" t="s">
        <v>41</v>
      </c>
      <c r="D113" s="18">
        <f>IF(D93-D92=0,0,"Error")</f>
        <v>0</v>
      </c>
      <c r="E113" s="18">
        <f t="shared" ref="E113:G113" si="26">IF(E93-E92=0,0,"Error")</f>
        <v>0</v>
      </c>
      <c r="F113" s="18">
        <f t="shared" si="26"/>
        <v>0</v>
      </c>
      <c r="G113" s="18">
        <f t="shared" si="26"/>
        <v>0</v>
      </c>
    </row>
    <row r="114" spans="3:7" ht="24.75" thickBot="1" x14ac:dyDescent="0.3">
      <c r="C114" s="30" t="s">
        <v>96</v>
      </c>
      <c r="D114" s="14" t="s">
        <v>23</v>
      </c>
      <c r="E114" s="14" t="s">
        <v>23</v>
      </c>
      <c r="F114" s="14" t="s">
        <v>23</v>
      </c>
      <c r="G114" s="14" t="s">
        <v>23</v>
      </c>
    </row>
    <row r="115" spans="3:7" ht="36.75" thickBot="1" x14ac:dyDescent="0.3">
      <c r="C115" s="30" t="s">
        <v>97</v>
      </c>
      <c r="D115" s="14">
        <v>45</v>
      </c>
      <c r="E115" s="14">
        <v>45</v>
      </c>
      <c r="F115" s="14">
        <v>45</v>
      </c>
      <c r="G115" s="14">
        <v>45</v>
      </c>
    </row>
  </sheetData>
  <mergeCells count="35">
    <mergeCell ref="D72:G72"/>
    <mergeCell ref="C73:C74"/>
    <mergeCell ref="C81:G81"/>
    <mergeCell ref="C82:C83"/>
    <mergeCell ref="C87:C89"/>
    <mergeCell ref="D87:G89"/>
    <mergeCell ref="D71:G71"/>
    <mergeCell ref="C33:C34"/>
    <mergeCell ref="D44:G44"/>
    <mergeCell ref="D45:G45"/>
    <mergeCell ref="D46:G46"/>
    <mergeCell ref="C48:C49"/>
    <mergeCell ref="C55:G55"/>
    <mergeCell ref="C56:C57"/>
    <mergeCell ref="C67:G67"/>
    <mergeCell ref="C68:G68"/>
    <mergeCell ref="D69:G69"/>
    <mergeCell ref="D70:G70"/>
    <mergeCell ref="C32:G32"/>
    <mergeCell ref="C9:G11"/>
    <mergeCell ref="D12:G12"/>
    <mergeCell ref="C13:C14"/>
    <mergeCell ref="D16:G16"/>
    <mergeCell ref="C17:G17"/>
    <mergeCell ref="C19:G19"/>
    <mergeCell ref="C20:G20"/>
    <mergeCell ref="D21:G21"/>
    <mergeCell ref="D22:G22"/>
    <mergeCell ref="D23:G23"/>
    <mergeCell ref="C24:C25"/>
    <mergeCell ref="C3:G3"/>
    <mergeCell ref="D5:G5"/>
    <mergeCell ref="D6:G6"/>
    <mergeCell ref="D7:G7"/>
    <mergeCell ref="C8:G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F308"/>
  <sheetViews>
    <sheetView topLeftCell="A268" workbookViewId="0">
      <selection activeCell="C286" sqref="C286"/>
    </sheetView>
  </sheetViews>
  <sheetFormatPr defaultRowHeight="15" x14ac:dyDescent="0.25"/>
  <cols>
    <col min="1" max="1" width="9.140625" style="152"/>
    <col min="2" max="2" width="50.85546875" style="152" customWidth="1"/>
    <col min="3" max="3" width="23.5703125" style="152" customWidth="1"/>
    <col min="4" max="4" width="18" style="152" customWidth="1"/>
    <col min="5" max="5" width="21.5703125" style="152" customWidth="1"/>
    <col min="6" max="6" width="19" style="152" customWidth="1"/>
    <col min="7" max="16384" width="9.140625" style="152"/>
  </cols>
  <sheetData>
    <row r="4" spans="2:6" ht="15.75" x14ac:dyDescent="0.25">
      <c r="B4" s="1159" t="s">
        <v>0</v>
      </c>
      <c r="C4" s="1159"/>
      <c r="D4" s="1159"/>
      <c r="E4" s="1159"/>
      <c r="F4" s="1159"/>
    </row>
    <row r="5" spans="2:6" ht="15.75" thickBot="1" x14ac:dyDescent="0.3"/>
    <row r="6" spans="2:6" ht="15.75" thickBot="1" x14ac:dyDescent="0.3">
      <c r="B6" s="153" t="s">
        <v>2</v>
      </c>
      <c r="C6" s="979" t="s">
        <v>1386</v>
      </c>
      <c r="D6" s="979"/>
      <c r="E6" s="979"/>
      <c r="F6" s="979"/>
    </row>
    <row r="7" spans="2:6" ht="15.75" thickBot="1" x14ac:dyDescent="0.3">
      <c r="B7" s="153" t="s">
        <v>3</v>
      </c>
      <c r="C7" s="1048" t="s">
        <v>1387</v>
      </c>
      <c r="D7" s="981"/>
      <c r="E7" s="981"/>
      <c r="F7" s="982"/>
    </row>
    <row r="8" spans="2:6" ht="15.75" thickBot="1" x14ac:dyDescent="0.3">
      <c r="B8" s="153" t="s">
        <v>5</v>
      </c>
      <c r="C8" s="983" t="s">
        <v>6</v>
      </c>
      <c r="D8" s="984"/>
      <c r="E8" s="984"/>
      <c r="F8" s="985"/>
    </row>
    <row r="9" spans="2:6" ht="15.75" thickBot="1" x14ac:dyDescent="0.3">
      <c r="B9" s="986" t="s">
        <v>7</v>
      </c>
      <c r="C9" s="987"/>
      <c r="D9" s="987"/>
      <c r="E9" s="987"/>
      <c r="F9" s="988"/>
    </row>
    <row r="10" spans="2:6" ht="15.75" thickBot="1" x14ac:dyDescent="0.3">
      <c r="B10" s="1003" t="s">
        <v>1386</v>
      </c>
      <c r="C10" s="1004"/>
      <c r="D10" s="1004"/>
      <c r="E10" s="1004"/>
      <c r="F10" s="1005"/>
    </row>
    <row r="11" spans="2:6" ht="15.75" thickBot="1" x14ac:dyDescent="0.3">
      <c r="B11" s="1003"/>
      <c r="C11" s="1004"/>
      <c r="D11" s="1004"/>
      <c r="E11" s="1004"/>
      <c r="F11" s="1005"/>
    </row>
    <row r="12" spans="2:6" ht="15.75" thickBot="1" x14ac:dyDescent="0.3">
      <c r="B12" s="1003"/>
      <c r="C12" s="1004"/>
      <c r="D12" s="1004"/>
      <c r="E12" s="1004"/>
      <c r="F12" s="1005"/>
    </row>
    <row r="13" spans="2:6" ht="100.5" customHeight="1" thickBot="1" x14ac:dyDescent="0.3">
      <c r="B13" s="154" t="s">
        <v>8</v>
      </c>
      <c r="C13" s="1006" t="s">
        <v>1388</v>
      </c>
      <c r="D13" s="993"/>
      <c r="E13" s="993"/>
      <c r="F13" s="994"/>
    </row>
    <row r="14" spans="2:6" x14ac:dyDescent="0.25">
      <c r="B14" s="998" t="s">
        <v>102</v>
      </c>
      <c r="C14" s="640">
        <v>2018</v>
      </c>
      <c r="D14" s="640">
        <v>2019</v>
      </c>
      <c r="E14" s="640">
        <v>2020</v>
      </c>
      <c r="F14" s="640">
        <v>2021</v>
      </c>
    </row>
    <row r="15" spans="2:6" ht="15.75" thickBot="1" x14ac:dyDescent="0.3">
      <c r="B15" s="999"/>
      <c r="C15" s="641" t="s">
        <v>10</v>
      </c>
      <c r="D15" s="641" t="s">
        <v>11</v>
      </c>
      <c r="E15" s="641" t="s">
        <v>11</v>
      </c>
      <c r="F15" s="641" t="s">
        <v>11</v>
      </c>
    </row>
    <row r="16" spans="2:6" ht="15.75" thickBot="1" x14ac:dyDescent="0.3">
      <c r="B16" s="637" t="s">
        <v>211</v>
      </c>
      <c r="C16" s="157" t="s">
        <v>116</v>
      </c>
      <c r="D16" s="157" t="s">
        <v>117</v>
      </c>
      <c r="E16" s="157" t="s">
        <v>117</v>
      </c>
      <c r="F16" s="157" t="s">
        <v>117</v>
      </c>
    </row>
    <row r="17" spans="2:6" ht="15.75" thickBot="1" x14ac:dyDescent="0.3">
      <c r="B17" s="62" t="s">
        <v>212</v>
      </c>
      <c r="C17" s="157" t="s">
        <v>116</v>
      </c>
      <c r="D17" s="157" t="s">
        <v>117</v>
      </c>
      <c r="E17" s="157" t="s">
        <v>117</v>
      </c>
      <c r="F17" s="157" t="s">
        <v>117</v>
      </c>
    </row>
    <row r="18" spans="2:6" ht="15.75" thickBot="1" x14ac:dyDescent="0.3">
      <c r="B18" s="62" t="s">
        <v>115</v>
      </c>
      <c r="C18" s="157" t="s">
        <v>116</v>
      </c>
      <c r="D18" s="157" t="s">
        <v>117</v>
      </c>
      <c r="E18" s="157" t="s">
        <v>117</v>
      </c>
      <c r="F18" s="157" t="s">
        <v>117</v>
      </c>
    </row>
    <row r="19" spans="2:6" ht="15.75" thickBot="1" x14ac:dyDescent="0.3">
      <c r="B19" s="158" t="s">
        <v>12</v>
      </c>
      <c r="C19" s="1007" t="s">
        <v>1389</v>
      </c>
      <c r="D19" s="1006"/>
      <c r="E19" s="1006"/>
      <c r="F19" s="1008"/>
    </row>
    <row r="20" spans="2:6" ht="15.75" thickBot="1" x14ac:dyDescent="0.3">
      <c r="B20" s="983" t="s">
        <v>103</v>
      </c>
      <c r="C20" s="984"/>
      <c r="D20" s="984"/>
      <c r="E20" s="984"/>
      <c r="F20" s="985"/>
    </row>
    <row r="21" spans="2:6" ht="15.75" thickBot="1" x14ac:dyDescent="0.3">
      <c r="B21" s="637" t="s">
        <v>211</v>
      </c>
      <c r="C21" s="157" t="s">
        <v>116</v>
      </c>
      <c r="D21" s="157" t="s">
        <v>117</v>
      </c>
      <c r="E21" s="157" t="s">
        <v>117</v>
      </c>
      <c r="F21" s="157" t="s">
        <v>117</v>
      </c>
    </row>
    <row r="22" spans="2:6" ht="15.75" thickBot="1" x14ac:dyDescent="0.3">
      <c r="B22" s="62" t="s">
        <v>212</v>
      </c>
      <c r="C22" s="157" t="s">
        <v>116</v>
      </c>
      <c r="D22" s="157" t="s">
        <v>117</v>
      </c>
      <c r="E22" s="157" t="s">
        <v>117</v>
      </c>
      <c r="F22" s="157" t="s">
        <v>117</v>
      </c>
    </row>
    <row r="23" spans="2:6" ht="15.75" thickBot="1" x14ac:dyDescent="0.3">
      <c r="B23" s="62" t="s">
        <v>115</v>
      </c>
      <c r="C23" s="157" t="s">
        <v>116</v>
      </c>
      <c r="D23" s="157" t="s">
        <v>117</v>
      </c>
      <c r="E23" s="157" t="s">
        <v>117</v>
      </c>
      <c r="F23" s="157" t="s">
        <v>117</v>
      </c>
    </row>
    <row r="24" spans="2:6" ht="15.75" thickBot="1" x14ac:dyDescent="0.3">
      <c r="B24" s="989" t="s">
        <v>14</v>
      </c>
      <c r="C24" s="990"/>
      <c r="D24" s="990"/>
      <c r="E24" s="990"/>
      <c r="F24" s="991"/>
    </row>
    <row r="25" spans="2:6" ht="15.75" thickBot="1" x14ac:dyDescent="0.3">
      <c r="B25" s="989" t="s">
        <v>104</v>
      </c>
      <c r="C25" s="990"/>
      <c r="D25" s="990"/>
      <c r="E25" s="990"/>
      <c r="F25" s="991"/>
    </row>
    <row r="26" spans="2:6" ht="15.75" thickBot="1" x14ac:dyDescent="0.3">
      <c r="B26" s="160" t="s">
        <v>16</v>
      </c>
      <c r="C26" s="992" t="s">
        <v>1390</v>
      </c>
      <c r="D26" s="993"/>
      <c r="E26" s="993"/>
      <c r="F26" s="994"/>
    </row>
    <row r="27" spans="2:6" ht="15.75" thickBot="1" x14ac:dyDescent="0.3">
      <c r="B27" s="62" t="s">
        <v>17</v>
      </c>
      <c r="C27" s="983" t="s">
        <v>1390</v>
      </c>
      <c r="D27" s="984"/>
      <c r="E27" s="984"/>
      <c r="F27" s="985"/>
    </row>
    <row r="28" spans="2:6" ht="15.75" thickBot="1" x14ac:dyDescent="0.3">
      <c r="B28" s="62" t="s">
        <v>18</v>
      </c>
      <c r="C28" s="995" t="s">
        <v>1391</v>
      </c>
      <c r="D28" s="996"/>
      <c r="E28" s="996"/>
      <c r="F28" s="997"/>
    </row>
    <row r="29" spans="2:6" x14ac:dyDescent="0.25">
      <c r="B29" s="998"/>
      <c r="C29" s="63">
        <v>2018</v>
      </c>
      <c r="D29" s="63">
        <v>2019</v>
      </c>
      <c r="E29" s="63">
        <v>2020</v>
      </c>
      <c r="F29" s="63">
        <v>2021</v>
      </c>
    </row>
    <row r="30" spans="2:6" ht="15.75" thickBot="1" x14ac:dyDescent="0.3">
      <c r="B30" s="999"/>
      <c r="C30" s="64" t="s">
        <v>10</v>
      </c>
      <c r="D30" s="64" t="s">
        <v>11</v>
      </c>
      <c r="E30" s="64" t="s">
        <v>11</v>
      </c>
      <c r="F30" s="64" t="s">
        <v>11</v>
      </c>
    </row>
    <row r="31" spans="2:6" ht="15.75" thickBot="1" x14ac:dyDescent="0.3">
      <c r="B31" s="62" t="s">
        <v>19</v>
      </c>
      <c r="C31" s="161">
        <v>17</v>
      </c>
      <c r="D31" s="161">
        <v>19</v>
      </c>
      <c r="E31" s="161">
        <v>19</v>
      </c>
      <c r="F31" s="161">
        <v>19</v>
      </c>
    </row>
    <row r="32" spans="2:6" ht="15.75" thickBot="1" x14ac:dyDescent="0.3">
      <c r="B32" s="62" t="s">
        <v>20</v>
      </c>
      <c r="C32" s="161">
        <v>32800</v>
      </c>
      <c r="D32" s="161">
        <v>48415</v>
      </c>
      <c r="E32" s="161">
        <v>48415</v>
      </c>
      <c r="F32" s="161">
        <v>48415</v>
      </c>
    </row>
    <row r="33" spans="2:6" ht="15.75" thickBot="1" x14ac:dyDescent="0.3">
      <c r="B33" s="62" t="s">
        <v>21</v>
      </c>
      <c r="C33" s="161">
        <f>C32/C31</f>
        <v>1929.4117647058824</v>
      </c>
      <c r="D33" s="161">
        <f t="shared" ref="D33:F33" si="0">D32/D31</f>
        <v>2548.1578947368421</v>
      </c>
      <c r="E33" s="161">
        <f t="shared" si="0"/>
        <v>2548.1578947368421</v>
      </c>
      <c r="F33" s="161">
        <f t="shared" si="0"/>
        <v>2548.1578947368421</v>
      </c>
    </row>
    <row r="34" spans="2:6" ht="15.75" thickBot="1" x14ac:dyDescent="0.3">
      <c r="B34" s="62" t="s">
        <v>22</v>
      </c>
      <c r="C34" s="636" t="s">
        <v>23</v>
      </c>
      <c r="D34" s="162">
        <f>D31/C31-1</f>
        <v>0.11764705882352944</v>
      </c>
      <c r="E34" s="162">
        <f t="shared" ref="E34:F36" si="1">E31/D31-1</f>
        <v>0</v>
      </c>
      <c r="F34" s="162">
        <f t="shared" si="1"/>
        <v>0</v>
      </c>
    </row>
    <row r="35" spans="2:6" ht="15.75" thickBot="1" x14ac:dyDescent="0.3">
      <c r="B35" s="62" t="s">
        <v>24</v>
      </c>
      <c r="C35" s="636" t="s">
        <v>23</v>
      </c>
      <c r="D35" s="162">
        <f>D32/C32-1</f>
        <v>0.47606707317073171</v>
      </c>
      <c r="E35" s="162">
        <f t="shared" si="1"/>
        <v>0</v>
      </c>
      <c r="F35" s="162">
        <f t="shared" si="1"/>
        <v>0</v>
      </c>
    </row>
    <row r="36" spans="2:6" ht="15.75" thickBot="1" x14ac:dyDescent="0.3">
      <c r="B36" s="62" t="s">
        <v>25</v>
      </c>
      <c r="C36" s="636" t="s">
        <v>23</v>
      </c>
      <c r="D36" s="162">
        <f>D33/C33-1</f>
        <v>0.32069159178433893</v>
      </c>
      <c r="E36" s="162">
        <f t="shared" si="1"/>
        <v>0</v>
      </c>
      <c r="F36" s="162">
        <f t="shared" si="1"/>
        <v>0</v>
      </c>
    </row>
    <row r="37" spans="2:6" ht="15.75" thickBot="1" x14ac:dyDescent="0.3">
      <c r="B37" s="1000" t="s">
        <v>784</v>
      </c>
      <c r="C37" s="1001"/>
      <c r="D37" s="1001"/>
      <c r="E37" s="1001"/>
      <c r="F37" s="1002"/>
    </row>
    <row r="38" spans="2:6" x14ac:dyDescent="0.25">
      <c r="B38" s="998"/>
      <c r="C38" s="63">
        <v>2018</v>
      </c>
      <c r="D38" s="63">
        <v>2019</v>
      </c>
      <c r="E38" s="63">
        <v>2020</v>
      </c>
      <c r="F38" s="63">
        <v>2021</v>
      </c>
    </row>
    <row r="39" spans="2:6" ht="15.75" thickBot="1" x14ac:dyDescent="0.3">
      <c r="B39" s="999"/>
      <c r="C39" s="64" t="s">
        <v>10</v>
      </c>
      <c r="D39" s="64" t="s">
        <v>11</v>
      </c>
      <c r="E39" s="64" t="s">
        <v>11</v>
      </c>
      <c r="F39" s="64" t="s">
        <v>11</v>
      </c>
    </row>
    <row r="40" spans="2:6" ht="15.75" thickBot="1" x14ac:dyDescent="0.3">
      <c r="B40" s="65" t="s">
        <v>26</v>
      </c>
      <c r="C40" s="164">
        <v>16900</v>
      </c>
      <c r="D40" s="164">
        <v>24349</v>
      </c>
      <c r="E40" s="164">
        <v>24349</v>
      </c>
      <c r="F40" s="164">
        <v>24349</v>
      </c>
    </row>
    <row r="41" spans="2:6" ht="15.75" thickBot="1" x14ac:dyDescent="0.3">
      <c r="B41" s="65" t="s">
        <v>28</v>
      </c>
      <c r="C41" s="164">
        <v>2400</v>
      </c>
      <c r="D41" s="164">
        <v>4066</v>
      </c>
      <c r="E41" s="164">
        <v>4066</v>
      </c>
      <c r="F41" s="164">
        <v>4066</v>
      </c>
    </row>
    <row r="42" spans="2:6" ht="15.75" thickBot="1" x14ac:dyDescent="0.3">
      <c r="B42" s="65" t="s">
        <v>30</v>
      </c>
      <c r="C42" s="165">
        <v>13500</v>
      </c>
      <c r="D42" s="164">
        <v>20000</v>
      </c>
      <c r="E42" s="164">
        <v>20000</v>
      </c>
      <c r="F42" s="164">
        <v>20000</v>
      </c>
    </row>
    <row r="43" spans="2:6" ht="15.75" thickBot="1" x14ac:dyDescent="0.3">
      <c r="B43" s="65" t="s">
        <v>32</v>
      </c>
      <c r="C43" s="165"/>
      <c r="D43" s="164"/>
      <c r="E43" s="164"/>
      <c r="F43" s="164"/>
    </row>
    <row r="44" spans="2:6" ht="15.75" thickBot="1" x14ac:dyDescent="0.3">
      <c r="B44" s="65" t="s">
        <v>34</v>
      </c>
      <c r="C44" s="165"/>
      <c r="D44" s="164"/>
      <c r="E44" s="164"/>
      <c r="F44" s="164"/>
    </row>
    <row r="45" spans="2:6" ht="15.75" thickBot="1" x14ac:dyDescent="0.3">
      <c r="B45" s="65" t="s">
        <v>36</v>
      </c>
      <c r="C45" s="165"/>
      <c r="D45" s="164"/>
      <c r="E45" s="164"/>
      <c r="F45" s="164"/>
    </row>
    <row r="46" spans="2:6" ht="15.75" thickBot="1" x14ac:dyDescent="0.3">
      <c r="B46" s="65" t="s">
        <v>38</v>
      </c>
      <c r="C46" s="165"/>
      <c r="D46" s="164"/>
      <c r="E46" s="164"/>
      <c r="F46" s="164"/>
    </row>
    <row r="47" spans="2:6" ht="15.75" thickBot="1" x14ac:dyDescent="0.3">
      <c r="B47" s="66" t="s">
        <v>40</v>
      </c>
      <c r="C47" s="165">
        <f>C46+C45+C44+C43+C42+C41+C40</f>
        <v>32800</v>
      </c>
      <c r="D47" s="165">
        <f>D46+D45+D44+D43+D42+D41+D40</f>
        <v>48415</v>
      </c>
      <c r="E47" s="165">
        <f>E46+E45+E44+E43+E42+E41+E40</f>
        <v>48415</v>
      </c>
      <c r="F47" s="165">
        <f>F46+F45+F44+F43+F42+F41+F40</f>
        <v>48415</v>
      </c>
    </row>
    <row r="48" spans="2:6" ht="15.75" thickBot="1" x14ac:dyDescent="0.3">
      <c r="B48" s="166" t="s">
        <v>41</v>
      </c>
      <c r="C48" s="167">
        <f>IF(C47-C32=0,0,"Error")</f>
        <v>0</v>
      </c>
      <c r="D48" s="167">
        <f>IF(D47-D32=0,0,"Error")</f>
        <v>0</v>
      </c>
      <c r="E48" s="167">
        <f>IF(E47-E32=0,0,"Error")</f>
        <v>0</v>
      </c>
      <c r="F48" s="167">
        <f>IF(F47-F32=0,0,"Error")</f>
        <v>0</v>
      </c>
    </row>
    <row r="49" spans="2:6" ht="15.75" thickBot="1" x14ac:dyDescent="0.3">
      <c r="B49" s="195" t="s">
        <v>791</v>
      </c>
      <c r="C49" s="992" t="s">
        <v>106</v>
      </c>
      <c r="D49" s="993"/>
      <c r="E49" s="993"/>
      <c r="F49" s="994"/>
    </row>
    <row r="50" spans="2:6" ht="15.75" thickBot="1" x14ac:dyDescent="0.3">
      <c r="B50" s="62" t="s">
        <v>17</v>
      </c>
      <c r="C50" s="983" t="s">
        <v>106</v>
      </c>
      <c r="D50" s="984"/>
      <c r="E50" s="984"/>
      <c r="F50" s="985"/>
    </row>
    <row r="51" spans="2:6" ht="15.75" thickBot="1" x14ac:dyDescent="0.3">
      <c r="B51" s="62" t="s">
        <v>18</v>
      </c>
      <c r="C51" s="995" t="s">
        <v>106</v>
      </c>
      <c r="D51" s="996"/>
      <c r="E51" s="996"/>
      <c r="F51" s="997"/>
    </row>
    <row r="52" spans="2:6" ht="15.75" thickBot="1" x14ac:dyDescent="0.3">
      <c r="B52" s="62" t="s">
        <v>19</v>
      </c>
      <c r="C52" s="161"/>
      <c r="D52" s="161"/>
      <c r="E52" s="161"/>
      <c r="F52" s="161"/>
    </row>
    <row r="53" spans="2:6" x14ac:dyDescent="0.25">
      <c r="B53" s="998"/>
      <c r="C53" s="63">
        <v>2018</v>
      </c>
      <c r="D53" s="63">
        <v>2019</v>
      </c>
      <c r="E53" s="63">
        <v>2020</v>
      </c>
      <c r="F53" s="63">
        <v>2021</v>
      </c>
    </row>
    <row r="54" spans="2:6" ht="15.75" thickBot="1" x14ac:dyDescent="0.3">
      <c r="B54" s="999"/>
      <c r="C54" s="64" t="s">
        <v>10</v>
      </c>
      <c r="D54" s="64" t="s">
        <v>11</v>
      </c>
      <c r="E54" s="64" t="s">
        <v>11</v>
      </c>
      <c r="F54" s="64" t="s">
        <v>11</v>
      </c>
    </row>
    <row r="55" spans="2:6" ht="15.75" thickBot="1" x14ac:dyDescent="0.3">
      <c r="B55" s="62" t="s">
        <v>20</v>
      </c>
      <c r="C55" s="161"/>
      <c r="D55" s="161"/>
      <c r="E55" s="161"/>
      <c r="F55" s="161"/>
    </row>
    <row r="56" spans="2:6" ht="15.75" thickBot="1" x14ac:dyDescent="0.3">
      <c r="B56" s="62" t="s">
        <v>21</v>
      </c>
      <c r="C56" s="161" t="e">
        <f>C55/C52</f>
        <v>#DIV/0!</v>
      </c>
      <c r="D56" s="161" t="e">
        <f>D55/D52</f>
        <v>#DIV/0!</v>
      </c>
      <c r="E56" s="161" t="e">
        <f>E55/E52</f>
        <v>#DIV/0!</v>
      </c>
      <c r="F56" s="161" t="e">
        <f>F55/F52</f>
        <v>#DIV/0!</v>
      </c>
    </row>
    <row r="57" spans="2:6" ht="15.75" thickBot="1" x14ac:dyDescent="0.3">
      <c r="B57" s="62" t="s">
        <v>22</v>
      </c>
      <c r="C57" s="636"/>
      <c r="D57" s="162" t="e">
        <f>D52/C52-1</f>
        <v>#DIV/0!</v>
      </c>
      <c r="E57" s="162" t="e">
        <f>E52/D52-1</f>
        <v>#DIV/0!</v>
      </c>
      <c r="F57" s="162" t="e">
        <f>F52/E52-1</f>
        <v>#DIV/0!</v>
      </c>
    </row>
    <row r="58" spans="2:6" ht="15.75" thickBot="1" x14ac:dyDescent="0.3">
      <c r="B58" s="62" t="s">
        <v>24</v>
      </c>
      <c r="C58" s="636"/>
      <c r="D58" s="162" t="e">
        <f>D55/C55-1</f>
        <v>#DIV/0!</v>
      </c>
      <c r="E58" s="162" t="e">
        <f t="shared" ref="E58:F59" si="2">E55/D55-1</f>
        <v>#DIV/0!</v>
      </c>
      <c r="F58" s="162" t="e">
        <f t="shared" si="2"/>
        <v>#DIV/0!</v>
      </c>
    </row>
    <row r="59" spans="2:6" ht="15.75" thickBot="1" x14ac:dyDescent="0.3">
      <c r="B59" s="62" t="s">
        <v>25</v>
      </c>
      <c r="C59" s="636"/>
      <c r="D59" s="162" t="e">
        <f>D56/C56-1</f>
        <v>#DIV/0!</v>
      </c>
      <c r="E59" s="162" t="e">
        <f t="shared" si="2"/>
        <v>#DIV/0!</v>
      </c>
      <c r="F59" s="162" t="e">
        <f t="shared" si="2"/>
        <v>#DIV/0!</v>
      </c>
    </row>
    <row r="60" spans="2:6" ht="15.75" thickBot="1" x14ac:dyDescent="0.3">
      <c r="B60" s="1000" t="s">
        <v>792</v>
      </c>
      <c r="C60" s="1001"/>
      <c r="D60" s="1001"/>
      <c r="E60" s="1001"/>
      <c r="F60" s="1002"/>
    </row>
    <row r="61" spans="2:6" x14ac:dyDescent="0.25">
      <c r="B61" s="998"/>
      <c r="C61" s="63">
        <v>2018</v>
      </c>
      <c r="D61" s="63">
        <v>2019</v>
      </c>
      <c r="E61" s="63">
        <v>2020</v>
      </c>
      <c r="F61" s="63">
        <v>2021</v>
      </c>
    </row>
    <row r="62" spans="2:6" ht="15.75" thickBot="1" x14ac:dyDescent="0.3">
      <c r="B62" s="999"/>
      <c r="C62" s="64" t="s">
        <v>10</v>
      </c>
      <c r="D62" s="64" t="s">
        <v>11</v>
      </c>
      <c r="E62" s="64" t="s">
        <v>11</v>
      </c>
      <c r="F62" s="64" t="s">
        <v>11</v>
      </c>
    </row>
    <row r="63" spans="2:6" ht="15.75" thickBot="1" x14ac:dyDescent="0.3">
      <c r="B63" s="65" t="s">
        <v>26</v>
      </c>
      <c r="C63" s="164"/>
      <c r="D63" s="164"/>
      <c r="E63" s="164"/>
      <c r="F63" s="164"/>
    </row>
    <row r="64" spans="2:6" ht="15.75" thickBot="1" x14ac:dyDescent="0.3">
      <c r="B64" s="65" t="s">
        <v>28</v>
      </c>
      <c r="C64" s="164"/>
      <c r="D64" s="164"/>
      <c r="E64" s="164"/>
      <c r="F64" s="164"/>
    </row>
    <row r="65" spans="2:6" ht="15.75" thickBot="1" x14ac:dyDescent="0.3">
      <c r="B65" s="65" t="s">
        <v>30</v>
      </c>
      <c r="C65" s="165"/>
      <c r="D65" s="164"/>
      <c r="E65" s="164"/>
      <c r="F65" s="164"/>
    </row>
    <row r="66" spans="2:6" ht="15.75" thickBot="1" x14ac:dyDescent="0.3">
      <c r="B66" s="65" t="s">
        <v>32</v>
      </c>
      <c r="C66" s="165"/>
      <c r="D66" s="164"/>
      <c r="E66" s="164"/>
      <c r="F66" s="164"/>
    </row>
    <row r="67" spans="2:6" ht="15.75" thickBot="1" x14ac:dyDescent="0.3">
      <c r="B67" s="65" t="s">
        <v>34</v>
      </c>
      <c r="C67" s="165"/>
      <c r="D67" s="164"/>
      <c r="E67" s="164"/>
      <c r="F67" s="164"/>
    </row>
    <row r="68" spans="2:6" ht="15.75" thickBot="1" x14ac:dyDescent="0.3">
      <c r="B68" s="65" t="s">
        <v>36</v>
      </c>
      <c r="C68" s="165"/>
      <c r="D68" s="164"/>
      <c r="E68" s="164"/>
      <c r="F68" s="164"/>
    </row>
    <row r="69" spans="2:6" ht="15.75" thickBot="1" x14ac:dyDescent="0.3">
      <c r="B69" s="65" t="s">
        <v>38</v>
      </c>
      <c r="C69" s="165"/>
      <c r="D69" s="164"/>
      <c r="E69" s="164"/>
      <c r="F69" s="164"/>
    </row>
    <row r="70" spans="2:6" ht="15.75" thickBot="1" x14ac:dyDescent="0.3">
      <c r="B70" s="196" t="s">
        <v>74</v>
      </c>
      <c r="C70" s="165">
        <f>C69+C68+C67+C66+C65+C64+C63</f>
        <v>0</v>
      </c>
      <c r="D70" s="165">
        <f>D69+D68+D67+D66+D65+D64+D63</f>
        <v>0</v>
      </c>
      <c r="E70" s="165">
        <f>E69+E68+E67+E66+E65+E64+E63</f>
        <v>0</v>
      </c>
      <c r="F70" s="165">
        <f>F69+F68+F67+F66+F65+F64+F63</f>
        <v>0</v>
      </c>
    </row>
    <row r="71" spans="2:6" ht="15.75" thickBot="1" x14ac:dyDescent="0.3">
      <c r="B71" s="166" t="s">
        <v>41</v>
      </c>
      <c r="C71" s="167">
        <f>IF(C70-C55=0,0,"Error")</f>
        <v>0</v>
      </c>
      <c r="D71" s="167">
        <f>IF(D70-D55=0,0,"Error")</f>
        <v>0</v>
      </c>
      <c r="E71" s="167">
        <f>IF(E70-E55=0,0,"Error")</f>
        <v>0</v>
      </c>
      <c r="F71" s="167">
        <f>IF(F70-F55=0,0,"Error")</f>
        <v>0</v>
      </c>
    </row>
    <row r="72" spans="2:6" ht="15.75" thickBot="1" x14ac:dyDescent="0.3">
      <c r="B72" s="989" t="s">
        <v>63</v>
      </c>
      <c r="C72" s="990"/>
      <c r="D72" s="990"/>
      <c r="E72" s="990"/>
      <c r="F72" s="991"/>
    </row>
    <row r="73" spans="2:6" ht="15.75" thickBot="1" x14ac:dyDescent="0.3">
      <c r="B73" s="989" t="s">
        <v>56</v>
      </c>
      <c r="C73" s="990"/>
      <c r="D73" s="990"/>
      <c r="E73" s="990"/>
      <c r="F73" s="991"/>
    </row>
    <row r="74" spans="2:6" ht="15.75" thickBot="1" x14ac:dyDescent="0.3">
      <c r="B74" s="67" t="s">
        <v>79</v>
      </c>
      <c r="C74" s="1009" t="s">
        <v>1197</v>
      </c>
      <c r="D74" s="1010"/>
      <c r="E74" s="1010"/>
      <c r="F74" s="1011"/>
    </row>
    <row r="75" spans="2:6" ht="15.75" thickBot="1" x14ac:dyDescent="0.3">
      <c r="B75" s="160" t="s">
        <v>16</v>
      </c>
      <c r="C75" s="983" t="s">
        <v>1392</v>
      </c>
      <c r="D75" s="984"/>
      <c r="E75" s="984"/>
      <c r="F75" s="985"/>
    </row>
    <row r="76" spans="2:6" ht="42.75" customHeight="1" thickBot="1" x14ac:dyDescent="0.3">
      <c r="B76" s="62" t="s">
        <v>17</v>
      </c>
      <c r="C76" s="983" t="s">
        <v>1393</v>
      </c>
      <c r="D76" s="984"/>
      <c r="E76" s="984"/>
      <c r="F76" s="985"/>
    </row>
    <row r="77" spans="2:6" ht="15.75" thickBot="1" x14ac:dyDescent="0.3">
      <c r="B77" s="62" t="s">
        <v>18</v>
      </c>
      <c r="C77" s="995" t="s">
        <v>1394</v>
      </c>
      <c r="D77" s="996"/>
      <c r="E77" s="996"/>
      <c r="F77" s="997"/>
    </row>
    <row r="78" spans="2:6" x14ac:dyDescent="0.25">
      <c r="B78" s="998"/>
      <c r="C78" s="63">
        <v>2018</v>
      </c>
      <c r="D78" s="63">
        <v>2019</v>
      </c>
      <c r="E78" s="63">
        <v>2020</v>
      </c>
      <c r="F78" s="63">
        <v>2021</v>
      </c>
    </row>
    <row r="79" spans="2:6" ht="15.75" thickBot="1" x14ac:dyDescent="0.3">
      <c r="B79" s="999"/>
      <c r="C79" s="64" t="s">
        <v>10</v>
      </c>
      <c r="D79" s="64" t="s">
        <v>11</v>
      </c>
      <c r="E79" s="64" t="s">
        <v>11</v>
      </c>
      <c r="F79" s="64" t="s">
        <v>11</v>
      </c>
    </row>
    <row r="80" spans="2:6" ht="15.75" thickBot="1" x14ac:dyDescent="0.3">
      <c r="B80" s="62" t="s">
        <v>19</v>
      </c>
      <c r="C80" s="161">
        <v>15</v>
      </c>
      <c r="D80" s="161">
        <v>0</v>
      </c>
      <c r="E80" s="161">
        <v>0</v>
      </c>
      <c r="F80" s="161">
        <v>0</v>
      </c>
    </row>
    <row r="81" spans="2:6" ht="15.75" thickBot="1" x14ac:dyDescent="0.3">
      <c r="B81" s="62" t="s">
        <v>20</v>
      </c>
      <c r="C81" s="161">
        <v>2000</v>
      </c>
      <c r="D81" s="161">
        <v>0</v>
      </c>
      <c r="E81" s="161">
        <v>0</v>
      </c>
      <c r="F81" s="161">
        <v>0</v>
      </c>
    </row>
    <row r="82" spans="2:6" ht="15.75" thickBot="1" x14ac:dyDescent="0.3">
      <c r="B82" s="62" t="s">
        <v>21</v>
      </c>
      <c r="C82" s="161">
        <f>C81/C80</f>
        <v>133.33333333333334</v>
      </c>
      <c r="D82" s="161" t="e">
        <f t="shared" ref="D82:F82" si="3">D81/D80</f>
        <v>#DIV/0!</v>
      </c>
      <c r="E82" s="161" t="e">
        <f t="shared" si="3"/>
        <v>#DIV/0!</v>
      </c>
      <c r="F82" s="161" t="e">
        <f t="shared" si="3"/>
        <v>#DIV/0!</v>
      </c>
    </row>
    <row r="83" spans="2:6" ht="15.75" thickBot="1" x14ac:dyDescent="0.3">
      <c r="B83" s="62" t="s">
        <v>22</v>
      </c>
      <c r="C83" s="636" t="s">
        <v>23</v>
      </c>
      <c r="D83" s="162">
        <f>D80/C80-1</f>
        <v>-1</v>
      </c>
      <c r="E83" s="162" t="e">
        <f t="shared" ref="E83:F85" si="4">E80/D80-1</f>
        <v>#DIV/0!</v>
      </c>
      <c r="F83" s="162" t="e">
        <f t="shared" si="4"/>
        <v>#DIV/0!</v>
      </c>
    </row>
    <row r="84" spans="2:6" ht="15.75" thickBot="1" x14ac:dyDescent="0.3">
      <c r="B84" s="62" t="s">
        <v>24</v>
      </c>
      <c r="C84" s="636" t="s">
        <v>23</v>
      </c>
      <c r="D84" s="162">
        <f>D81/C81-1</f>
        <v>-1</v>
      </c>
      <c r="E84" s="162" t="e">
        <f t="shared" si="4"/>
        <v>#DIV/0!</v>
      </c>
      <c r="F84" s="162" t="e">
        <f t="shared" si="4"/>
        <v>#DIV/0!</v>
      </c>
    </row>
    <row r="85" spans="2:6" ht="15.75" thickBot="1" x14ac:dyDescent="0.3">
      <c r="B85" s="62" t="s">
        <v>25</v>
      </c>
      <c r="C85" s="636" t="s">
        <v>23</v>
      </c>
      <c r="D85" s="162" t="e">
        <f>D82/C82-1</f>
        <v>#DIV/0!</v>
      </c>
      <c r="E85" s="162" t="e">
        <f t="shared" si="4"/>
        <v>#DIV/0!</v>
      </c>
      <c r="F85" s="162" t="e">
        <f t="shared" si="4"/>
        <v>#DIV/0!</v>
      </c>
    </row>
    <row r="86" spans="2:6" ht="15.75" thickBot="1" x14ac:dyDescent="0.3">
      <c r="B86" s="1000" t="s">
        <v>784</v>
      </c>
      <c r="C86" s="1001"/>
      <c r="D86" s="1001"/>
      <c r="E86" s="1001"/>
      <c r="F86" s="1002"/>
    </row>
    <row r="87" spans="2:6" x14ac:dyDescent="0.25">
      <c r="B87" s="998"/>
      <c r="C87" s="63">
        <v>2018</v>
      </c>
      <c r="D87" s="63">
        <v>2019</v>
      </c>
      <c r="E87" s="63">
        <v>2020</v>
      </c>
      <c r="F87" s="63">
        <v>2021</v>
      </c>
    </row>
    <row r="88" spans="2:6" ht="15.75" thickBot="1" x14ac:dyDescent="0.3">
      <c r="B88" s="999"/>
      <c r="C88" s="64" t="s">
        <v>10</v>
      </c>
      <c r="D88" s="64" t="s">
        <v>11</v>
      </c>
      <c r="E88" s="64" t="s">
        <v>11</v>
      </c>
      <c r="F88" s="64" t="s">
        <v>11</v>
      </c>
    </row>
    <row r="89" spans="2:6" ht="15.75" thickBot="1" x14ac:dyDescent="0.3">
      <c r="B89" s="65" t="s">
        <v>58</v>
      </c>
      <c r="C89" s="164"/>
      <c r="D89" s="164"/>
      <c r="E89" s="164"/>
      <c r="F89" s="164"/>
    </row>
    <row r="90" spans="2:6" ht="15.75" thickBot="1" x14ac:dyDescent="0.3">
      <c r="B90" s="65" t="s">
        <v>59</v>
      </c>
      <c r="C90" s="165">
        <v>2000</v>
      </c>
      <c r="D90" s="164"/>
      <c r="E90" s="164"/>
      <c r="F90" s="164"/>
    </row>
    <row r="91" spans="2:6" ht="15.75" thickBot="1" x14ac:dyDescent="0.3">
      <c r="B91" s="66" t="s">
        <v>40</v>
      </c>
      <c r="C91" s="165">
        <f>C90+C89</f>
        <v>2000</v>
      </c>
      <c r="D91" s="165">
        <f t="shared" ref="D91:F91" si="5">D90+D89</f>
        <v>0</v>
      </c>
      <c r="E91" s="165">
        <f t="shared" si="5"/>
        <v>0</v>
      </c>
      <c r="F91" s="165">
        <f t="shared" si="5"/>
        <v>0</v>
      </c>
    </row>
    <row r="92" spans="2:6" x14ac:dyDescent="0.25">
      <c r="B92" s="1015" t="s">
        <v>60</v>
      </c>
      <c r="C92" s="1036"/>
      <c r="D92" s="1037"/>
      <c r="E92" s="1037"/>
      <c r="F92" s="1038"/>
    </row>
    <row r="93" spans="2:6" x14ac:dyDescent="0.25">
      <c r="B93" s="1016"/>
      <c r="C93" s="1039"/>
      <c r="D93" s="1040"/>
      <c r="E93" s="1040"/>
      <c r="F93" s="1041"/>
    </row>
    <row r="94" spans="2:6" ht="15.75" thickBot="1" x14ac:dyDescent="0.3">
      <c r="B94" s="1017"/>
      <c r="C94" s="1042"/>
      <c r="D94" s="1043"/>
      <c r="E94" s="1043"/>
      <c r="F94" s="1044"/>
    </row>
    <row r="95" spans="2:6" ht="15.75" thickBot="1" x14ac:dyDescent="0.3">
      <c r="B95" s="67" t="s">
        <v>61</v>
      </c>
      <c r="C95" s="1012" t="s">
        <v>1395</v>
      </c>
      <c r="D95" s="1013"/>
      <c r="E95" s="1013"/>
      <c r="F95" s="1014"/>
    </row>
    <row r="96" spans="2:6" ht="15.75" thickBot="1" x14ac:dyDescent="0.3">
      <c r="B96" s="160" t="s">
        <v>42</v>
      </c>
      <c r="C96" s="992" t="s">
        <v>736</v>
      </c>
      <c r="D96" s="993"/>
      <c r="E96" s="993"/>
      <c r="F96" s="994"/>
    </row>
    <row r="97" spans="2:6" ht="51" customHeight="1" thickBot="1" x14ac:dyDescent="0.3">
      <c r="B97" s="62" t="s">
        <v>17</v>
      </c>
      <c r="C97" s="983" t="s">
        <v>1396</v>
      </c>
      <c r="D97" s="984"/>
      <c r="E97" s="984"/>
      <c r="F97" s="985"/>
    </row>
    <row r="98" spans="2:6" ht="15.75" thickBot="1" x14ac:dyDescent="0.3">
      <c r="B98" s="62" t="s">
        <v>18</v>
      </c>
      <c r="C98" s="995" t="s">
        <v>518</v>
      </c>
      <c r="D98" s="996"/>
      <c r="E98" s="996"/>
      <c r="F98" s="997"/>
    </row>
    <row r="99" spans="2:6" x14ac:dyDescent="0.25">
      <c r="B99" s="998"/>
      <c r="C99" s="63">
        <v>2018</v>
      </c>
      <c r="D99" s="63">
        <v>2019</v>
      </c>
      <c r="E99" s="63">
        <v>2020</v>
      </c>
      <c r="F99" s="63">
        <v>2021</v>
      </c>
    </row>
    <row r="100" spans="2:6" ht="15.75" thickBot="1" x14ac:dyDescent="0.3">
      <c r="B100" s="999"/>
      <c r="C100" s="64" t="s">
        <v>10</v>
      </c>
      <c r="D100" s="64" t="s">
        <v>11</v>
      </c>
      <c r="E100" s="64" t="s">
        <v>11</v>
      </c>
      <c r="F100" s="64" t="s">
        <v>11</v>
      </c>
    </row>
    <row r="101" spans="2:6" ht="15.75" thickBot="1" x14ac:dyDescent="0.3">
      <c r="B101" s="62" t="s">
        <v>19</v>
      </c>
      <c r="C101" s="161">
        <v>1</v>
      </c>
      <c r="D101" s="161">
        <v>0</v>
      </c>
      <c r="E101" s="161">
        <v>0</v>
      </c>
      <c r="F101" s="161">
        <v>0</v>
      </c>
    </row>
    <row r="102" spans="2:6" ht="15.75" thickBot="1" x14ac:dyDescent="0.3">
      <c r="B102" s="62" t="s">
        <v>20</v>
      </c>
      <c r="C102" s="161">
        <v>4000</v>
      </c>
      <c r="D102" s="161">
        <v>0</v>
      </c>
      <c r="E102" s="161">
        <v>0</v>
      </c>
      <c r="F102" s="161">
        <v>0</v>
      </c>
    </row>
    <row r="103" spans="2:6" ht="15.75" thickBot="1" x14ac:dyDescent="0.3">
      <c r="B103" s="62" t="s">
        <v>21</v>
      </c>
      <c r="C103" s="161">
        <f>C102/C101</f>
        <v>4000</v>
      </c>
      <c r="D103" s="161" t="e">
        <f t="shared" ref="D103:F103" si="6">D102/D101</f>
        <v>#DIV/0!</v>
      </c>
      <c r="E103" s="161" t="e">
        <f t="shared" si="6"/>
        <v>#DIV/0!</v>
      </c>
      <c r="F103" s="161" t="e">
        <f t="shared" si="6"/>
        <v>#DIV/0!</v>
      </c>
    </row>
    <row r="104" spans="2:6" ht="15.75" thickBot="1" x14ac:dyDescent="0.3">
      <c r="B104" s="62" t="s">
        <v>22</v>
      </c>
      <c r="C104" s="636" t="s">
        <v>23</v>
      </c>
      <c r="D104" s="162">
        <f>D101/C101-1</f>
        <v>-1</v>
      </c>
      <c r="E104" s="162" t="e">
        <f t="shared" ref="E104:F106" si="7">E101/D101-1</f>
        <v>#DIV/0!</v>
      </c>
      <c r="F104" s="162" t="e">
        <f t="shared" si="7"/>
        <v>#DIV/0!</v>
      </c>
    </row>
    <row r="105" spans="2:6" ht="15.75" thickBot="1" x14ac:dyDescent="0.3">
      <c r="B105" s="62" t="s">
        <v>24</v>
      </c>
      <c r="C105" s="636" t="s">
        <v>23</v>
      </c>
      <c r="D105" s="162">
        <f>D102/C102-1</f>
        <v>-1</v>
      </c>
      <c r="E105" s="162" t="e">
        <f t="shared" si="7"/>
        <v>#DIV/0!</v>
      </c>
      <c r="F105" s="162" t="e">
        <f t="shared" si="7"/>
        <v>#DIV/0!</v>
      </c>
    </row>
    <row r="106" spans="2:6" ht="15.75" thickBot="1" x14ac:dyDescent="0.3">
      <c r="B106" s="62" t="s">
        <v>25</v>
      </c>
      <c r="C106" s="636" t="s">
        <v>23</v>
      </c>
      <c r="D106" s="162" t="e">
        <f>D103/C103-1</f>
        <v>#DIV/0!</v>
      </c>
      <c r="E106" s="162" t="e">
        <f t="shared" si="7"/>
        <v>#DIV/0!</v>
      </c>
      <c r="F106" s="162" t="e">
        <f t="shared" si="7"/>
        <v>#DIV/0!</v>
      </c>
    </row>
    <row r="107" spans="2:6" ht="15.75" thickBot="1" x14ac:dyDescent="0.3">
      <c r="B107" s="1000" t="s">
        <v>793</v>
      </c>
      <c r="C107" s="1001"/>
      <c r="D107" s="1001"/>
      <c r="E107" s="1001"/>
      <c r="F107" s="1002"/>
    </row>
    <row r="108" spans="2:6" x14ac:dyDescent="0.25">
      <c r="B108" s="998"/>
      <c r="C108" s="63">
        <v>2018</v>
      </c>
      <c r="D108" s="63">
        <v>2019</v>
      </c>
      <c r="E108" s="63">
        <v>2020</v>
      </c>
      <c r="F108" s="63">
        <v>2021</v>
      </c>
    </row>
    <row r="109" spans="2:6" ht="15.75" thickBot="1" x14ac:dyDescent="0.3">
      <c r="B109" s="999"/>
      <c r="C109" s="64" t="s">
        <v>10</v>
      </c>
      <c r="D109" s="64" t="s">
        <v>11</v>
      </c>
      <c r="E109" s="64" t="s">
        <v>11</v>
      </c>
      <c r="F109" s="64" t="s">
        <v>11</v>
      </c>
    </row>
    <row r="110" spans="2:6" ht="15.75" thickBot="1" x14ac:dyDescent="0.3">
      <c r="B110" s="65" t="s">
        <v>58</v>
      </c>
      <c r="C110" s="164"/>
      <c r="D110" s="164"/>
      <c r="E110" s="164"/>
      <c r="F110" s="164"/>
    </row>
    <row r="111" spans="2:6" ht="15.75" thickBot="1" x14ac:dyDescent="0.3">
      <c r="B111" s="65" t="s">
        <v>59</v>
      </c>
      <c r="C111" s="165">
        <v>4000</v>
      </c>
      <c r="D111" s="164"/>
      <c r="E111" s="164"/>
      <c r="F111" s="164"/>
    </row>
    <row r="112" spans="2:6" ht="15.75" thickBot="1" x14ac:dyDescent="0.3">
      <c r="B112" s="66" t="s">
        <v>43</v>
      </c>
      <c r="C112" s="165">
        <f>C111+C110</f>
        <v>4000</v>
      </c>
      <c r="D112" s="165">
        <f t="shared" ref="D112:F112" si="8">D111+D110</f>
        <v>0</v>
      </c>
      <c r="E112" s="165">
        <f t="shared" si="8"/>
        <v>0</v>
      </c>
      <c r="F112" s="165">
        <f t="shared" si="8"/>
        <v>0</v>
      </c>
    </row>
    <row r="113" spans="2:6" ht="15.75" thickBot="1" x14ac:dyDescent="0.3">
      <c r="B113" s="989" t="s">
        <v>63</v>
      </c>
      <c r="C113" s="990"/>
      <c r="D113" s="990"/>
      <c r="E113" s="990"/>
      <c r="F113" s="991"/>
    </row>
    <row r="114" spans="2:6" ht="15.75" thickBot="1" x14ac:dyDescent="0.3">
      <c r="B114" s="989" t="s">
        <v>64</v>
      </c>
      <c r="C114" s="990"/>
      <c r="D114" s="990"/>
      <c r="E114" s="990"/>
      <c r="F114" s="991"/>
    </row>
    <row r="115" spans="2:6" ht="15.75" thickBot="1" x14ac:dyDescent="0.3">
      <c r="B115" s="67" t="s">
        <v>61</v>
      </c>
      <c r="C115" s="1009" t="s">
        <v>1397</v>
      </c>
      <c r="D115" s="1010"/>
      <c r="E115" s="1010"/>
      <c r="F115" s="1011"/>
    </row>
    <row r="116" spans="2:6" ht="15.75" thickBot="1" x14ac:dyDescent="0.3">
      <c r="B116" s="160" t="s">
        <v>16</v>
      </c>
      <c r="C116" s="992" t="s">
        <v>1398</v>
      </c>
      <c r="D116" s="993"/>
      <c r="E116" s="993"/>
      <c r="F116" s="994"/>
    </row>
    <row r="117" spans="2:6" ht="15.75" thickBot="1" x14ac:dyDescent="0.3">
      <c r="B117" s="62" t="s">
        <v>17</v>
      </c>
      <c r="C117" s="983" t="s">
        <v>1399</v>
      </c>
      <c r="D117" s="984"/>
      <c r="E117" s="984"/>
      <c r="F117" s="985"/>
    </row>
    <row r="118" spans="2:6" ht="15.75" thickBot="1" x14ac:dyDescent="0.3">
      <c r="B118" s="62" t="s">
        <v>18</v>
      </c>
      <c r="C118" s="995" t="s">
        <v>1400</v>
      </c>
      <c r="D118" s="996"/>
      <c r="E118" s="996"/>
      <c r="F118" s="997"/>
    </row>
    <row r="119" spans="2:6" x14ac:dyDescent="0.25">
      <c r="B119" s="998"/>
      <c r="C119" s="63">
        <v>2018</v>
      </c>
      <c r="D119" s="63">
        <v>2019</v>
      </c>
      <c r="E119" s="63">
        <v>2020</v>
      </c>
      <c r="F119" s="63">
        <v>2021</v>
      </c>
    </row>
    <row r="120" spans="2:6" ht="15.75" thickBot="1" x14ac:dyDescent="0.3">
      <c r="B120" s="999"/>
      <c r="C120" s="64" t="s">
        <v>10</v>
      </c>
      <c r="D120" s="64" t="s">
        <v>11</v>
      </c>
      <c r="E120" s="64" t="s">
        <v>11</v>
      </c>
      <c r="F120" s="64" t="s">
        <v>11</v>
      </c>
    </row>
    <row r="121" spans="2:6" ht="15.75" thickBot="1" x14ac:dyDescent="0.3">
      <c r="B121" s="62" t="s">
        <v>19</v>
      </c>
      <c r="C121" s="161">
        <v>1</v>
      </c>
      <c r="D121" s="161">
        <v>1</v>
      </c>
      <c r="E121" s="161">
        <v>1</v>
      </c>
      <c r="F121" s="161">
        <v>0</v>
      </c>
    </row>
    <row r="122" spans="2:6" ht="15.75" thickBot="1" x14ac:dyDescent="0.3">
      <c r="B122" s="62" t="s">
        <v>20</v>
      </c>
      <c r="C122" s="161">
        <v>10000</v>
      </c>
      <c r="D122" s="161">
        <v>15000</v>
      </c>
      <c r="E122" s="161">
        <v>20300</v>
      </c>
      <c r="F122" s="161">
        <v>0</v>
      </c>
    </row>
    <row r="123" spans="2:6" ht="15.75" thickBot="1" x14ac:dyDescent="0.3">
      <c r="B123" s="62" t="s">
        <v>21</v>
      </c>
      <c r="C123" s="161">
        <f>C122/C121</f>
        <v>10000</v>
      </c>
      <c r="D123" s="161">
        <f t="shared" ref="D123:F123" si="9">D122/D121</f>
        <v>15000</v>
      </c>
      <c r="E123" s="161">
        <f t="shared" si="9"/>
        <v>20300</v>
      </c>
      <c r="F123" s="161" t="e">
        <f t="shared" si="9"/>
        <v>#DIV/0!</v>
      </c>
    </row>
    <row r="124" spans="2:6" ht="15.75" thickBot="1" x14ac:dyDescent="0.3">
      <c r="B124" s="62" t="s">
        <v>22</v>
      </c>
      <c r="C124" s="636" t="s">
        <v>23</v>
      </c>
      <c r="D124" s="162">
        <f>D121/C121-1</f>
        <v>0</v>
      </c>
      <c r="E124" s="162">
        <f t="shared" ref="E124:F126" si="10">E121/D121-1</f>
        <v>0</v>
      </c>
      <c r="F124" s="162">
        <f t="shared" si="10"/>
        <v>-1</v>
      </c>
    </row>
    <row r="125" spans="2:6" ht="15.75" thickBot="1" x14ac:dyDescent="0.3">
      <c r="B125" s="62" t="s">
        <v>24</v>
      </c>
      <c r="C125" s="636" t="s">
        <v>23</v>
      </c>
      <c r="D125" s="162">
        <f>D122/C122-1</f>
        <v>0.5</v>
      </c>
      <c r="E125" s="162">
        <f t="shared" si="10"/>
        <v>0.35333333333333328</v>
      </c>
      <c r="F125" s="162">
        <f t="shared" si="10"/>
        <v>-1</v>
      </c>
    </row>
    <row r="126" spans="2:6" ht="15.75" thickBot="1" x14ac:dyDescent="0.3">
      <c r="B126" s="62" t="s">
        <v>25</v>
      </c>
      <c r="C126" s="636" t="s">
        <v>23</v>
      </c>
      <c r="D126" s="162">
        <f>D123/C123-1</f>
        <v>0.5</v>
      </c>
      <c r="E126" s="162">
        <f t="shared" si="10"/>
        <v>0.35333333333333328</v>
      </c>
      <c r="F126" s="162" t="e">
        <f t="shared" si="10"/>
        <v>#DIV/0!</v>
      </c>
    </row>
    <row r="127" spans="2:6" ht="15.75" thickBot="1" x14ac:dyDescent="0.3">
      <c r="B127" s="1000" t="s">
        <v>784</v>
      </c>
      <c r="C127" s="1001"/>
      <c r="D127" s="1001"/>
      <c r="E127" s="1001"/>
      <c r="F127" s="1002"/>
    </row>
    <row r="128" spans="2:6" x14ac:dyDescent="0.25">
      <c r="B128" s="998"/>
      <c r="C128" s="63">
        <v>2018</v>
      </c>
      <c r="D128" s="63">
        <v>2019</v>
      </c>
      <c r="E128" s="63">
        <v>2020</v>
      </c>
      <c r="F128" s="63">
        <v>2021</v>
      </c>
    </row>
    <row r="129" spans="2:6" ht="15.75" thickBot="1" x14ac:dyDescent="0.3">
      <c r="B129" s="999"/>
      <c r="C129" s="64" t="s">
        <v>10</v>
      </c>
      <c r="D129" s="64" t="s">
        <v>11</v>
      </c>
      <c r="E129" s="64" t="s">
        <v>11</v>
      </c>
      <c r="F129" s="64" t="s">
        <v>11</v>
      </c>
    </row>
    <row r="130" spans="2:6" ht="15.75" thickBot="1" x14ac:dyDescent="0.3">
      <c r="B130" s="65" t="s">
        <v>58</v>
      </c>
      <c r="C130" s="164"/>
      <c r="D130" s="164"/>
      <c r="E130" s="164"/>
      <c r="F130" s="164"/>
    </row>
    <row r="131" spans="2:6" ht="15.75" thickBot="1" x14ac:dyDescent="0.3">
      <c r="B131" s="65" t="s">
        <v>59</v>
      </c>
      <c r="C131" s="165">
        <v>10000</v>
      </c>
      <c r="D131" s="164">
        <v>15000</v>
      </c>
      <c r="E131" s="164">
        <v>20300</v>
      </c>
      <c r="F131" s="164"/>
    </row>
    <row r="132" spans="2:6" ht="15.75" thickBot="1" x14ac:dyDescent="0.3">
      <c r="B132" s="66" t="s">
        <v>40</v>
      </c>
      <c r="C132" s="165">
        <f>C131+C130</f>
        <v>10000</v>
      </c>
      <c r="D132" s="165">
        <f t="shared" ref="D132:F132" si="11">D131+D130</f>
        <v>15000</v>
      </c>
      <c r="E132" s="165">
        <f t="shared" si="11"/>
        <v>20300</v>
      </c>
      <c r="F132" s="165">
        <f t="shared" si="11"/>
        <v>0</v>
      </c>
    </row>
    <row r="133" spans="2:6" ht="15.75" thickBot="1" x14ac:dyDescent="0.3">
      <c r="B133" s="197" t="s">
        <v>61</v>
      </c>
      <c r="C133" s="1009" t="s">
        <v>1401</v>
      </c>
      <c r="D133" s="1010"/>
      <c r="E133" s="1010"/>
      <c r="F133" s="1011"/>
    </row>
    <row r="134" spans="2:6" ht="36.75" customHeight="1" thickBot="1" x14ac:dyDescent="0.3">
      <c r="B134" s="160" t="s">
        <v>42</v>
      </c>
      <c r="C134" s="1007" t="s">
        <v>1402</v>
      </c>
      <c r="D134" s="1006"/>
      <c r="E134" s="1006"/>
      <c r="F134" s="1008"/>
    </row>
    <row r="135" spans="2:6" ht="53.25" customHeight="1" thickBot="1" x14ac:dyDescent="0.3">
      <c r="B135" s="62" t="s">
        <v>17</v>
      </c>
      <c r="C135" s="983" t="s">
        <v>1403</v>
      </c>
      <c r="D135" s="984"/>
      <c r="E135" s="984"/>
      <c r="F135" s="985"/>
    </row>
    <row r="136" spans="2:6" ht="15.75" thickBot="1" x14ac:dyDescent="0.3">
      <c r="B136" s="62" t="s">
        <v>18</v>
      </c>
      <c r="C136" s="995" t="s">
        <v>1404</v>
      </c>
      <c r="D136" s="996"/>
      <c r="E136" s="996"/>
      <c r="F136" s="997"/>
    </row>
    <row r="137" spans="2:6" x14ac:dyDescent="0.25">
      <c r="B137" s="998"/>
      <c r="C137" s="63">
        <v>2018</v>
      </c>
      <c r="D137" s="63">
        <v>2019</v>
      </c>
      <c r="E137" s="63">
        <v>2020</v>
      </c>
      <c r="F137" s="63">
        <v>2021</v>
      </c>
    </row>
    <row r="138" spans="2:6" ht="15.75" thickBot="1" x14ac:dyDescent="0.3">
      <c r="B138" s="999"/>
      <c r="C138" s="64" t="s">
        <v>10</v>
      </c>
      <c r="D138" s="64" t="s">
        <v>11</v>
      </c>
      <c r="E138" s="64" t="s">
        <v>11</v>
      </c>
      <c r="F138" s="64" t="s">
        <v>11</v>
      </c>
    </row>
    <row r="139" spans="2:6" ht="15.75" thickBot="1" x14ac:dyDescent="0.3">
      <c r="B139" s="62" t="s">
        <v>19</v>
      </c>
      <c r="C139" s="161">
        <v>1</v>
      </c>
      <c r="D139" s="161">
        <v>1</v>
      </c>
      <c r="E139" s="161">
        <v>1</v>
      </c>
      <c r="F139" s="161"/>
    </row>
    <row r="140" spans="2:6" ht="15.75" thickBot="1" x14ac:dyDescent="0.3">
      <c r="B140" s="62" t="s">
        <v>20</v>
      </c>
      <c r="C140" s="161">
        <v>2000</v>
      </c>
      <c r="D140" s="161">
        <v>2000</v>
      </c>
      <c r="E140" s="161">
        <v>2000</v>
      </c>
      <c r="F140" s="161"/>
    </row>
    <row r="141" spans="2:6" ht="15.75" thickBot="1" x14ac:dyDescent="0.3">
      <c r="B141" s="62" t="s">
        <v>21</v>
      </c>
      <c r="C141" s="161">
        <f>C140/C139</f>
        <v>2000</v>
      </c>
      <c r="D141" s="161">
        <f t="shared" ref="D141:F141" si="12">D140/D139</f>
        <v>2000</v>
      </c>
      <c r="E141" s="161">
        <f t="shared" si="12"/>
        <v>2000</v>
      </c>
      <c r="F141" s="161" t="e">
        <f t="shared" si="12"/>
        <v>#DIV/0!</v>
      </c>
    </row>
    <row r="142" spans="2:6" ht="15.75" thickBot="1" x14ac:dyDescent="0.3">
      <c r="B142" s="62" t="s">
        <v>22</v>
      </c>
      <c r="C142" s="636" t="s">
        <v>23</v>
      </c>
      <c r="D142" s="162">
        <f>D139/C139-1</f>
        <v>0</v>
      </c>
      <c r="E142" s="162">
        <f t="shared" ref="E142:F144" si="13">E139/D139-1</f>
        <v>0</v>
      </c>
      <c r="F142" s="162">
        <f t="shared" si="13"/>
        <v>-1</v>
      </c>
    </row>
    <row r="143" spans="2:6" ht="15.75" thickBot="1" x14ac:dyDescent="0.3">
      <c r="B143" s="62" t="s">
        <v>24</v>
      </c>
      <c r="C143" s="636" t="s">
        <v>23</v>
      </c>
      <c r="D143" s="162">
        <f>D140/C140-1</f>
        <v>0</v>
      </c>
      <c r="E143" s="162">
        <f t="shared" si="13"/>
        <v>0</v>
      </c>
      <c r="F143" s="162">
        <f t="shared" si="13"/>
        <v>-1</v>
      </c>
    </row>
    <row r="144" spans="2:6" ht="15.75" thickBot="1" x14ac:dyDescent="0.3">
      <c r="B144" s="62" t="s">
        <v>25</v>
      </c>
      <c r="C144" s="636" t="s">
        <v>23</v>
      </c>
      <c r="D144" s="162">
        <f>D141/C141-1</f>
        <v>0</v>
      </c>
      <c r="E144" s="162">
        <f t="shared" si="13"/>
        <v>0</v>
      </c>
      <c r="F144" s="162" t="e">
        <f t="shared" si="13"/>
        <v>#DIV/0!</v>
      </c>
    </row>
    <row r="145" spans="2:6" ht="15.75" thickBot="1" x14ac:dyDescent="0.3">
      <c r="B145" s="1000" t="s">
        <v>786</v>
      </c>
      <c r="C145" s="1001"/>
      <c r="D145" s="1001"/>
      <c r="E145" s="1001"/>
      <c r="F145" s="1002"/>
    </row>
    <row r="146" spans="2:6" x14ac:dyDescent="0.25">
      <c r="B146" s="998"/>
      <c r="C146" s="63">
        <v>2018</v>
      </c>
      <c r="D146" s="63">
        <v>2019</v>
      </c>
      <c r="E146" s="63">
        <v>2020</v>
      </c>
      <c r="F146" s="63">
        <v>2021</v>
      </c>
    </row>
    <row r="147" spans="2:6" ht="15.75" thickBot="1" x14ac:dyDescent="0.3">
      <c r="B147" s="999"/>
      <c r="C147" s="64" t="s">
        <v>10</v>
      </c>
      <c r="D147" s="64" t="s">
        <v>11</v>
      </c>
      <c r="E147" s="64" t="s">
        <v>11</v>
      </c>
      <c r="F147" s="64" t="s">
        <v>11</v>
      </c>
    </row>
    <row r="148" spans="2:6" ht="15.75" thickBot="1" x14ac:dyDescent="0.3">
      <c r="B148" s="235" t="s">
        <v>58</v>
      </c>
      <c r="C148" s="236"/>
      <c r="D148" s="236"/>
      <c r="E148" s="236"/>
      <c r="F148" s="236"/>
    </row>
    <row r="149" spans="2:6" ht="15.75" thickBot="1" x14ac:dyDescent="0.3">
      <c r="B149" s="235" t="s">
        <v>59</v>
      </c>
      <c r="C149" s="194">
        <v>2000</v>
      </c>
      <c r="D149" s="194">
        <v>2000</v>
      </c>
      <c r="E149" s="194">
        <v>2000</v>
      </c>
      <c r="F149" s="236"/>
    </row>
    <row r="150" spans="2:6" ht="15.75" thickBot="1" x14ac:dyDescent="0.3">
      <c r="B150" s="199" t="s">
        <v>43</v>
      </c>
      <c r="C150" s="201">
        <f>C149+C148</f>
        <v>2000</v>
      </c>
      <c r="D150" s="201">
        <f t="shared" ref="D150:F150" si="14">D149+D148</f>
        <v>2000</v>
      </c>
      <c r="E150" s="201">
        <f t="shared" si="14"/>
        <v>2000</v>
      </c>
      <c r="F150" s="201">
        <f t="shared" si="14"/>
        <v>0</v>
      </c>
    </row>
    <row r="151" spans="2:6" ht="15.75" thickBot="1" x14ac:dyDescent="0.3">
      <c r="B151" s="657" t="s">
        <v>12</v>
      </c>
      <c r="C151" s="1069" t="s">
        <v>1389</v>
      </c>
      <c r="D151" s="1070"/>
      <c r="E151" s="1070"/>
      <c r="F151" s="1071"/>
    </row>
    <row r="152" spans="2:6" ht="15.75" thickBot="1" x14ac:dyDescent="0.3">
      <c r="B152" s="1069" t="s">
        <v>103</v>
      </c>
      <c r="C152" s="1070"/>
      <c r="D152" s="1070"/>
      <c r="E152" s="1070"/>
      <c r="F152" s="1071"/>
    </row>
    <row r="153" spans="2:6" ht="15.75" thickBot="1" x14ac:dyDescent="0.3">
      <c r="B153" s="643" t="s">
        <v>211</v>
      </c>
      <c r="C153" s="658" t="s">
        <v>116</v>
      </c>
      <c r="D153" s="658" t="s">
        <v>117</v>
      </c>
      <c r="E153" s="658" t="s">
        <v>117</v>
      </c>
      <c r="F153" s="658" t="s">
        <v>117</v>
      </c>
    </row>
    <row r="154" spans="2:6" ht="15.75" thickBot="1" x14ac:dyDescent="0.3">
      <c r="B154" s="229" t="s">
        <v>212</v>
      </c>
      <c r="C154" s="658" t="s">
        <v>116</v>
      </c>
      <c r="D154" s="658" t="s">
        <v>117</v>
      </c>
      <c r="E154" s="658" t="s">
        <v>117</v>
      </c>
      <c r="F154" s="658" t="s">
        <v>117</v>
      </c>
    </row>
    <row r="155" spans="2:6" ht="15.75" thickBot="1" x14ac:dyDescent="0.3">
      <c r="B155" s="229" t="s">
        <v>115</v>
      </c>
      <c r="C155" s="658" t="s">
        <v>116</v>
      </c>
      <c r="D155" s="658" t="s">
        <v>117</v>
      </c>
      <c r="E155" s="658" t="s">
        <v>117</v>
      </c>
      <c r="F155" s="658" t="s">
        <v>117</v>
      </c>
    </row>
    <row r="156" spans="2:6" ht="15.75" thickBot="1" x14ac:dyDescent="0.3">
      <c r="B156" s="1203" t="s">
        <v>14</v>
      </c>
      <c r="C156" s="1204"/>
      <c r="D156" s="1204"/>
      <c r="E156" s="1204"/>
      <c r="F156" s="1205"/>
    </row>
    <row r="157" spans="2:6" ht="15.75" thickBot="1" x14ac:dyDescent="0.3">
      <c r="B157" s="1569" t="s">
        <v>70</v>
      </c>
      <c r="C157" s="1460"/>
      <c r="D157" s="1460"/>
      <c r="E157" s="1460"/>
      <c r="F157" s="1570"/>
    </row>
    <row r="158" spans="2:6" x14ac:dyDescent="0.25">
      <c r="B158" s="1206"/>
      <c r="C158" s="231">
        <v>2018</v>
      </c>
      <c r="D158" s="231">
        <v>2019</v>
      </c>
      <c r="E158" s="231">
        <v>2020</v>
      </c>
      <c r="F158" s="231">
        <v>2021</v>
      </c>
    </row>
    <row r="159" spans="2:6" ht="15.75" thickBot="1" x14ac:dyDescent="0.3">
      <c r="B159" s="1207"/>
      <c r="C159" s="232" t="s">
        <v>10</v>
      </c>
      <c r="D159" s="232" t="s">
        <v>11</v>
      </c>
      <c r="E159" s="232" t="s">
        <v>11</v>
      </c>
      <c r="F159" s="232" t="s">
        <v>11</v>
      </c>
    </row>
    <row r="160" spans="2:6" ht="15.75" thickBot="1" x14ac:dyDescent="0.3">
      <c r="B160" s="230" t="s">
        <v>42</v>
      </c>
      <c r="C160" s="1235" t="s">
        <v>1401</v>
      </c>
      <c r="D160" s="1236"/>
      <c r="E160" s="1236"/>
      <c r="F160" s="1237"/>
    </row>
    <row r="161" spans="2:6" ht="47.25" customHeight="1" thickBot="1" x14ac:dyDescent="0.3">
      <c r="B161" s="229" t="s">
        <v>17</v>
      </c>
      <c r="C161" s="1069" t="s">
        <v>1402</v>
      </c>
      <c r="D161" s="1070"/>
      <c r="E161" s="1070"/>
      <c r="F161" s="1071"/>
    </row>
    <row r="162" spans="2:6" ht="15.75" thickBot="1" x14ac:dyDescent="0.3">
      <c r="B162" s="229" t="s">
        <v>18</v>
      </c>
      <c r="C162" s="1235" t="s">
        <v>1405</v>
      </c>
      <c r="D162" s="1236"/>
      <c r="E162" s="1236"/>
      <c r="F162" s="1237"/>
    </row>
    <row r="163" spans="2:6" x14ac:dyDescent="0.25">
      <c r="B163" s="1206"/>
      <c r="C163" s="231">
        <v>2018</v>
      </c>
      <c r="D163" s="231">
        <v>2019</v>
      </c>
      <c r="E163" s="231">
        <v>2020</v>
      </c>
      <c r="F163" s="231">
        <v>2021</v>
      </c>
    </row>
    <row r="164" spans="2:6" ht="15.75" thickBot="1" x14ac:dyDescent="0.3">
      <c r="B164" s="1207"/>
      <c r="C164" s="232" t="s">
        <v>10</v>
      </c>
      <c r="D164" s="232" t="s">
        <v>11</v>
      </c>
      <c r="E164" s="232" t="s">
        <v>11</v>
      </c>
      <c r="F164" s="232" t="s">
        <v>11</v>
      </c>
    </row>
    <row r="165" spans="2:6" ht="15.75" thickBot="1" x14ac:dyDescent="0.3">
      <c r="B165" s="229" t="s">
        <v>19</v>
      </c>
      <c r="C165" s="194"/>
      <c r="D165" s="194"/>
      <c r="E165" s="194"/>
      <c r="F165" s="194"/>
    </row>
    <row r="166" spans="2:6" ht="15.75" thickBot="1" x14ac:dyDescent="0.3">
      <c r="B166" s="229" t="s">
        <v>20</v>
      </c>
      <c r="C166" s="194"/>
      <c r="D166" s="194"/>
      <c r="E166" s="194"/>
      <c r="F166" s="194"/>
    </row>
    <row r="167" spans="2:6" ht="15.75" thickBot="1" x14ac:dyDescent="0.3">
      <c r="B167" s="229" t="s">
        <v>21</v>
      </c>
      <c r="C167" s="194" t="e">
        <f>C166/C165</f>
        <v>#DIV/0!</v>
      </c>
      <c r="D167" s="194" t="e">
        <f t="shared" ref="D167:F167" si="15">D166/D165</f>
        <v>#DIV/0!</v>
      </c>
      <c r="E167" s="194" t="e">
        <f t="shared" si="15"/>
        <v>#DIV/0!</v>
      </c>
      <c r="F167" s="194" t="e">
        <f t="shared" si="15"/>
        <v>#DIV/0!</v>
      </c>
    </row>
    <row r="168" spans="2:6" ht="15.75" thickBot="1" x14ac:dyDescent="0.3">
      <c r="B168" s="229" t="s">
        <v>22</v>
      </c>
      <c r="C168" s="642"/>
      <c r="D168" s="234" t="e">
        <f>D165/C165-1</f>
        <v>#DIV/0!</v>
      </c>
      <c r="E168" s="234" t="e">
        <f t="shared" ref="E168:F170" si="16">E165/D165-1</f>
        <v>#DIV/0!</v>
      </c>
      <c r="F168" s="234" t="e">
        <f t="shared" si="16"/>
        <v>#DIV/0!</v>
      </c>
    </row>
    <row r="169" spans="2:6" ht="15.75" thickBot="1" x14ac:dyDescent="0.3">
      <c r="B169" s="229" t="s">
        <v>24</v>
      </c>
      <c r="C169" s="642"/>
      <c r="D169" s="234" t="e">
        <f>D166/C166-1</f>
        <v>#DIV/0!</v>
      </c>
      <c r="E169" s="234" t="e">
        <f t="shared" si="16"/>
        <v>#DIV/0!</v>
      </c>
      <c r="F169" s="234" t="e">
        <f t="shared" si="16"/>
        <v>#DIV/0!</v>
      </c>
    </row>
    <row r="170" spans="2:6" ht="15.75" thickBot="1" x14ac:dyDescent="0.3">
      <c r="B170" s="229" t="s">
        <v>25</v>
      </c>
      <c r="C170" s="642"/>
      <c r="D170" s="234" t="e">
        <f>D167/C167-1</f>
        <v>#DIV/0!</v>
      </c>
      <c r="E170" s="234" t="e">
        <f t="shared" si="16"/>
        <v>#DIV/0!</v>
      </c>
      <c r="F170" s="234" t="e">
        <f t="shared" si="16"/>
        <v>#DIV/0!</v>
      </c>
    </row>
    <row r="171" spans="2:6" x14ac:dyDescent="0.25">
      <c r="B171" s="1206"/>
      <c r="C171" s="231">
        <v>2018</v>
      </c>
      <c r="D171" s="231">
        <v>2019</v>
      </c>
      <c r="E171" s="231">
        <v>2020</v>
      </c>
      <c r="F171" s="231">
        <v>2021</v>
      </c>
    </row>
    <row r="172" spans="2:6" ht="15.75" thickBot="1" x14ac:dyDescent="0.3">
      <c r="B172" s="1207"/>
      <c r="C172" s="232" t="s">
        <v>10</v>
      </c>
      <c r="D172" s="232" t="s">
        <v>11</v>
      </c>
      <c r="E172" s="232" t="s">
        <v>11</v>
      </c>
      <c r="F172" s="232" t="s">
        <v>11</v>
      </c>
    </row>
    <row r="173" spans="2:6" ht="15.75" thickBot="1" x14ac:dyDescent="0.3">
      <c r="B173" s="1203" t="s">
        <v>797</v>
      </c>
      <c r="C173" s="1204"/>
      <c r="D173" s="1204"/>
      <c r="E173" s="1204"/>
      <c r="F173" s="1205"/>
    </row>
    <row r="174" spans="2:6" x14ac:dyDescent="0.25">
      <c r="B174" s="1206"/>
      <c r="C174" s="231">
        <v>2018</v>
      </c>
      <c r="D174" s="231">
        <v>2019</v>
      </c>
      <c r="E174" s="231">
        <v>2020</v>
      </c>
      <c r="F174" s="231">
        <v>2021</v>
      </c>
    </row>
    <row r="175" spans="2:6" ht="15.75" thickBot="1" x14ac:dyDescent="0.3">
      <c r="B175" s="1207"/>
      <c r="C175" s="232" t="s">
        <v>10</v>
      </c>
      <c r="D175" s="232" t="s">
        <v>11</v>
      </c>
      <c r="E175" s="232" t="s">
        <v>11</v>
      </c>
      <c r="F175" s="232" t="s">
        <v>11</v>
      </c>
    </row>
    <row r="176" spans="2:6" ht="15.75" thickBot="1" x14ac:dyDescent="0.3">
      <c r="B176" s="235" t="s">
        <v>26</v>
      </c>
      <c r="C176" s="236"/>
      <c r="D176" s="236"/>
      <c r="E176" s="236"/>
      <c r="F176" s="236"/>
    </row>
    <row r="177" spans="2:6" ht="15.75" thickBot="1" x14ac:dyDescent="0.3">
      <c r="B177" s="235" t="s">
        <v>28</v>
      </c>
      <c r="C177" s="236"/>
      <c r="D177" s="236"/>
      <c r="E177" s="236"/>
      <c r="F177" s="236"/>
    </row>
    <row r="178" spans="2:6" ht="15.75" thickBot="1" x14ac:dyDescent="0.3">
      <c r="B178" s="235" t="s">
        <v>30</v>
      </c>
      <c r="C178" s="201"/>
      <c r="D178" s="236"/>
      <c r="E178" s="236"/>
      <c r="F178" s="236"/>
    </row>
    <row r="179" spans="2:6" ht="15.75" thickBot="1" x14ac:dyDescent="0.3">
      <c r="B179" s="235" t="s">
        <v>32</v>
      </c>
      <c r="C179" s="201"/>
      <c r="D179" s="236"/>
      <c r="E179" s="236"/>
      <c r="F179" s="236"/>
    </row>
    <row r="180" spans="2:6" ht="15.75" thickBot="1" x14ac:dyDescent="0.3">
      <c r="B180" s="235" t="s">
        <v>34</v>
      </c>
      <c r="C180" s="201"/>
      <c r="D180" s="236"/>
      <c r="E180" s="236"/>
      <c r="F180" s="236"/>
    </row>
    <row r="181" spans="2:6" ht="15.75" thickBot="1" x14ac:dyDescent="0.3">
      <c r="B181" s="235" t="s">
        <v>36</v>
      </c>
      <c r="C181" s="201"/>
      <c r="D181" s="236"/>
      <c r="E181" s="236"/>
      <c r="F181" s="236"/>
    </row>
    <row r="182" spans="2:6" ht="15.75" thickBot="1" x14ac:dyDescent="0.3">
      <c r="B182" s="235" t="s">
        <v>38</v>
      </c>
      <c r="C182" s="201"/>
      <c r="D182" s="236"/>
      <c r="E182" s="236"/>
      <c r="F182" s="236"/>
    </row>
    <row r="183" spans="2:6" ht="15.75" thickBot="1" x14ac:dyDescent="0.3">
      <c r="B183" s="723" t="s">
        <v>71</v>
      </c>
      <c r="C183" s="530">
        <f>C182+C181+C180+C179+C178+C177+C176</f>
        <v>0</v>
      </c>
      <c r="D183" s="530">
        <f>D182+D181+D180+D179+D178+D177+D176</f>
        <v>0</v>
      </c>
      <c r="E183" s="530">
        <f>E182+E181+E180+E179+E178+E177+E176</f>
        <v>0</v>
      </c>
      <c r="F183" s="530">
        <f>F182+F181+F180+F179+F178+F177+F176</f>
        <v>0</v>
      </c>
    </row>
    <row r="184" spans="2:6" ht="15.75" thickBot="1" x14ac:dyDescent="0.3">
      <c r="B184" s="724" t="s">
        <v>41</v>
      </c>
      <c r="C184" s="530">
        <f>IF(C183-C166=0,0,"Error")</f>
        <v>0</v>
      </c>
      <c r="D184" s="530">
        <f>IF(D183-D166=0,0,"Error")</f>
        <v>0</v>
      </c>
      <c r="E184" s="530">
        <f>IF(E183-E166=0,0,"Error")</f>
        <v>0</v>
      </c>
      <c r="F184" s="530">
        <f>IF(F183-F166=0,0,"Error")</f>
        <v>0</v>
      </c>
    </row>
    <row r="185" spans="2:6" ht="15.75" thickBot="1" x14ac:dyDescent="0.3">
      <c r="B185" s="643" t="s">
        <v>791</v>
      </c>
      <c r="C185" s="1235" t="s">
        <v>106</v>
      </c>
      <c r="D185" s="1236"/>
      <c r="E185" s="1236"/>
      <c r="F185" s="1237"/>
    </row>
    <row r="186" spans="2:6" ht="15.75" thickBot="1" x14ac:dyDescent="0.3">
      <c r="B186" s="229" t="s">
        <v>17</v>
      </c>
      <c r="C186" s="1069" t="s">
        <v>106</v>
      </c>
      <c r="D186" s="1070"/>
      <c r="E186" s="1070"/>
      <c r="F186" s="1071"/>
    </row>
    <row r="187" spans="2:6" ht="15.75" thickBot="1" x14ac:dyDescent="0.3">
      <c r="B187" s="229" t="s">
        <v>18</v>
      </c>
      <c r="C187" s="1235" t="s">
        <v>106</v>
      </c>
      <c r="D187" s="1236"/>
      <c r="E187" s="1236"/>
      <c r="F187" s="1237"/>
    </row>
    <row r="188" spans="2:6" x14ac:dyDescent="0.25">
      <c r="B188" s="1206"/>
      <c r="C188" s="231">
        <v>2018</v>
      </c>
      <c r="D188" s="231">
        <v>2019</v>
      </c>
      <c r="E188" s="231">
        <v>2020</v>
      </c>
      <c r="F188" s="231">
        <v>2021</v>
      </c>
    </row>
    <row r="189" spans="2:6" ht="15.75" thickBot="1" x14ac:dyDescent="0.3">
      <c r="B189" s="1207"/>
      <c r="C189" s="232" t="s">
        <v>10</v>
      </c>
      <c r="D189" s="232" t="s">
        <v>11</v>
      </c>
      <c r="E189" s="232" t="s">
        <v>11</v>
      </c>
      <c r="F189" s="232" t="s">
        <v>11</v>
      </c>
    </row>
    <row r="190" spans="2:6" ht="15.75" thickBot="1" x14ac:dyDescent="0.3">
      <c r="B190" s="229" t="s">
        <v>19</v>
      </c>
      <c r="C190" s="194"/>
      <c r="D190" s="194"/>
      <c r="E190" s="194"/>
      <c r="F190" s="194"/>
    </row>
    <row r="191" spans="2:6" ht="15.75" thickBot="1" x14ac:dyDescent="0.3">
      <c r="B191" s="229" t="s">
        <v>20</v>
      </c>
      <c r="C191" s="194"/>
      <c r="D191" s="194"/>
      <c r="E191" s="194"/>
      <c r="F191" s="194"/>
    </row>
    <row r="192" spans="2:6" ht="15.75" thickBot="1" x14ac:dyDescent="0.3">
      <c r="B192" s="229" t="s">
        <v>21</v>
      </c>
      <c r="C192" s="194" t="e">
        <f>C191/C190</f>
        <v>#DIV/0!</v>
      </c>
      <c r="D192" s="194" t="e">
        <f t="shared" ref="D192:F192" si="17">D191/D190</f>
        <v>#DIV/0!</v>
      </c>
      <c r="E192" s="194" t="e">
        <f t="shared" si="17"/>
        <v>#DIV/0!</v>
      </c>
      <c r="F192" s="194" t="e">
        <f t="shared" si="17"/>
        <v>#DIV/0!</v>
      </c>
    </row>
    <row r="193" spans="2:6" ht="15.75" thickBot="1" x14ac:dyDescent="0.3">
      <c r="B193" s="229" t="s">
        <v>22</v>
      </c>
      <c r="C193" s="642"/>
      <c r="D193" s="234" t="e">
        <f>D190/C190-1</f>
        <v>#DIV/0!</v>
      </c>
      <c r="E193" s="234" t="e">
        <f t="shared" ref="E193:F195" si="18">E190/D190-1</f>
        <v>#DIV/0!</v>
      </c>
      <c r="F193" s="234" t="e">
        <f t="shared" si="18"/>
        <v>#DIV/0!</v>
      </c>
    </row>
    <row r="194" spans="2:6" ht="15.75" thickBot="1" x14ac:dyDescent="0.3">
      <c r="B194" s="229" t="s">
        <v>24</v>
      </c>
      <c r="C194" s="642"/>
      <c r="D194" s="234" t="e">
        <f>D191/C191-1</f>
        <v>#DIV/0!</v>
      </c>
      <c r="E194" s="234" t="e">
        <f t="shared" si="18"/>
        <v>#DIV/0!</v>
      </c>
      <c r="F194" s="234" t="e">
        <f t="shared" si="18"/>
        <v>#DIV/0!</v>
      </c>
    </row>
    <row r="195" spans="2:6" ht="15.75" thickBot="1" x14ac:dyDescent="0.3">
      <c r="B195" s="229" t="s">
        <v>25</v>
      </c>
      <c r="C195" s="642"/>
      <c r="D195" s="234" t="e">
        <f>D192/C192-1</f>
        <v>#DIV/0!</v>
      </c>
      <c r="E195" s="234" t="e">
        <f t="shared" si="18"/>
        <v>#DIV/0!</v>
      </c>
      <c r="F195" s="234" t="e">
        <f t="shared" si="18"/>
        <v>#DIV/0!</v>
      </c>
    </row>
    <row r="196" spans="2:6" ht="15.75" thickBot="1" x14ac:dyDescent="0.3">
      <c r="B196" s="1203" t="s">
        <v>793</v>
      </c>
      <c r="C196" s="1204"/>
      <c r="D196" s="1204"/>
      <c r="E196" s="1204"/>
      <c r="F196" s="1205"/>
    </row>
    <row r="197" spans="2:6" x14ac:dyDescent="0.25">
      <c r="B197" s="1206"/>
      <c r="C197" s="231">
        <v>2018</v>
      </c>
      <c r="D197" s="231">
        <v>2019</v>
      </c>
      <c r="E197" s="231">
        <v>2020</v>
      </c>
      <c r="F197" s="231">
        <v>2021</v>
      </c>
    </row>
    <row r="198" spans="2:6" ht="15.75" thickBot="1" x14ac:dyDescent="0.3">
      <c r="B198" s="1207"/>
      <c r="C198" s="232" t="s">
        <v>10</v>
      </c>
      <c r="D198" s="232" t="s">
        <v>11</v>
      </c>
      <c r="E198" s="232" t="s">
        <v>11</v>
      </c>
      <c r="F198" s="232" t="s">
        <v>11</v>
      </c>
    </row>
    <row r="199" spans="2:6" ht="15.75" thickBot="1" x14ac:dyDescent="0.3">
      <c r="B199" s="235" t="s">
        <v>26</v>
      </c>
      <c r="C199" s="236"/>
      <c r="D199" s="236"/>
      <c r="E199" s="236"/>
      <c r="F199" s="236"/>
    </row>
    <row r="200" spans="2:6" ht="15.75" thickBot="1" x14ac:dyDescent="0.3">
      <c r="B200" s="235" t="s">
        <v>28</v>
      </c>
      <c r="C200" s="236"/>
      <c r="D200" s="236"/>
      <c r="E200" s="236"/>
      <c r="F200" s="236"/>
    </row>
    <row r="201" spans="2:6" ht="15.75" thickBot="1" x14ac:dyDescent="0.3">
      <c r="B201" s="235" t="s">
        <v>30</v>
      </c>
      <c r="C201" s="201"/>
      <c r="D201" s="236"/>
      <c r="E201" s="236"/>
      <c r="F201" s="236"/>
    </row>
    <row r="202" spans="2:6" ht="15.75" thickBot="1" x14ac:dyDescent="0.3">
      <c r="B202" s="235" t="s">
        <v>32</v>
      </c>
      <c r="C202" s="201"/>
      <c r="D202" s="236"/>
      <c r="E202" s="236"/>
      <c r="F202" s="236"/>
    </row>
    <row r="203" spans="2:6" ht="15.75" thickBot="1" x14ac:dyDescent="0.3">
      <c r="B203" s="235" t="s">
        <v>34</v>
      </c>
      <c r="C203" s="201"/>
      <c r="D203" s="236"/>
      <c r="E203" s="236"/>
      <c r="F203" s="236"/>
    </row>
    <row r="204" spans="2:6" ht="15.75" thickBot="1" x14ac:dyDescent="0.3">
      <c r="B204" s="235" t="s">
        <v>36</v>
      </c>
      <c r="C204" s="201"/>
      <c r="D204" s="236"/>
      <c r="E204" s="236"/>
      <c r="F204" s="236"/>
    </row>
    <row r="205" spans="2:6" ht="15.75" thickBot="1" x14ac:dyDescent="0.3">
      <c r="B205" s="235" t="s">
        <v>38</v>
      </c>
      <c r="C205" s="201"/>
      <c r="D205" s="236"/>
      <c r="E205" s="236"/>
      <c r="F205" s="236"/>
    </row>
    <row r="206" spans="2:6" ht="15.75" thickBot="1" x14ac:dyDescent="0.3">
      <c r="B206" s="723" t="s">
        <v>71</v>
      </c>
      <c r="C206" s="725">
        <f>C205+C203+C204+C202+C201+C200+C199</f>
        <v>0</v>
      </c>
      <c r="D206" s="725">
        <f>D205+D203+D204+D202+D201+D200+D199</f>
        <v>0</v>
      </c>
      <c r="E206" s="725">
        <f>E205+E203+E204+E202+E201+E200+E199</f>
        <v>0</v>
      </c>
      <c r="F206" s="725">
        <f>F205+F203+F204+F202+F201+F200+F199</f>
        <v>0</v>
      </c>
    </row>
    <row r="207" spans="2:6" ht="15.75" thickBot="1" x14ac:dyDescent="0.3">
      <c r="B207" s="724" t="s">
        <v>41</v>
      </c>
      <c r="C207" s="530">
        <f>IF(C206-C191=0,0,"Error")</f>
        <v>0</v>
      </c>
      <c r="D207" s="530">
        <f>IF(D206-D191=0,0,"Error")</f>
        <v>0</v>
      </c>
      <c r="E207" s="530">
        <f>IF(E206-E191=0,0,"Error")</f>
        <v>0</v>
      </c>
      <c r="F207" s="530">
        <f>IF(F206-F191=0,0,"Error")</f>
        <v>0</v>
      </c>
    </row>
    <row r="208" spans="2:6" ht="15.75" thickBot="1" x14ac:dyDescent="0.3">
      <c r="B208" s="1229" t="s">
        <v>63</v>
      </c>
      <c r="C208" s="1230"/>
      <c r="D208" s="1230"/>
      <c r="E208" s="1230"/>
      <c r="F208" s="1231"/>
    </row>
    <row r="209" spans="2:6" ht="15.75" thickBot="1" x14ac:dyDescent="0.3">
      <c r="B209" s="1229" t="s">
        <v>56</v>
      </c>
      <c r="C209" s="1230"/>
      <c r="D209" s="1230"/>
      <c r="E209" s="1230"/>
      <c r="F209" s="1231"/>
    </row>
    <row r="210" spans="2:6" ht="15.75" thickBot="1" x14ac:dyDescent="0.3">
      <c r="B210" s="229" t="s">
        <v>79</v>
      </c>
      <c r="C210" s="1074"/>
      <c r="D210" s="1075"/>
      <c r="E210" s="1075"/>
      <c r="F210" s="1076"/>
    </row>
    <row r="211" spans="2:6" ht="15.75" thickBot="1" x14ac:dyDescent="0.3">
      <c r="B211" s="230" t="s">
        <v>16</v>
      </c>
      <c r="C211" s="1235"/>
      <c r="D211" s="1236"/>
      <c r="E211" s="1236"/>
      <c r="F211" s="1237"/>
    </row>
    <row r="212" spans="2:6" ht="15.75" thickBot="1" x14ac:dyDescent="0.3">
      <c r="B212" s="229" t="s">
        <v>17</v>
      </c>
      <c r="C212" s="1069"/>
      <c r="D212" s="1070"/>
      <c r="E212" s="1070"/>
      <c r="F212" s="1071"/>
    </row>
    <row r="213" spans="2:6" ht="15.75" thickBot="1" x14ac:dyDescent="0.3">
      <c r="B213" s="229" t="s">
        <v>18</v>
      </c>
      <c r="C213" s="1235"/>
      <c r="D213" s="1236"/>
      <c r="E213" s="1236"/>
      <c r="F213" s="1237"/>
    </row>
    <row r="214" spans="2:6" x14ac:dyDescent="0.25">
      <c r="B214" s="1206"/>
      <c r="C214" s="231">
        <v>2018</v>
      </c>
      <c r="D214" s="231">
        <v>2019</v>
      </c>
      <c r="E214" s="231">
        <v>2020</v>
      </c>
      <c r="F214" s="231">
        <v>2021</v>
      </c>
    </row>
    <row r="215" spans="2:6" ht="15.75" thickBot="1" x14ac:dyDescent="0.3">
      <c r="B215" s="1207"/>
      <c r="C215" s="232" t="s">
        <v>10</v>
      </c>
      <c r="D215" s="232" t="s">
        <v>11</v>
      </c>
      <c r="E215" s="232" t="s">
        <v>11</v>
      </c>
      <c r="F215" s="232" t="s">
        <v>11</v>
      </c>
    </row>
    <row r="216" spans="2:6" ht="15.75" thickBot="1" x14ac:dyDescent="0.3">
      <c r="B216" s="229" t="s">
        <v>19</v>
      </c>
      <c r="C216" s="194"/>
      <c r="D216" s="194">
        <v>0</v>
      </c>
      <c r="E216" s="194">
        <v>0</v>
      </c>
      <c r="F216" s="194">
        <v>0</v>
      </c>
    </row>
    <row r="217" spans="2:6" ht="15.75" thickBot="1" x14ac:dyDescent="0.3">
      <c r="B217" s="229" t="s">
        <v>20</v>
      </c>
      <c r="C217" s="194"/>
      <c r="D217" s="194">
        <v>0</v>
      </c>
      <c r="E217" s="194">
        <v>0</v>
      </c>
      <c r="F217" s="194">
        <v>0</v>
      </c>
    </row>
    <row r="218" spans="2:6" ht="15.75" thickBot="1" x14ac:dyDescent="0.3">
      <c r="B218" s="229" t="s">
        <v>21</v>
      </c>
      <c r="C218" s="194" t="e">
        <f>C217/C216</f>
        <v>#DIV/0!</v>
      </c>
      <c r="D218" s="194" t="e">
        <f t="shared" ref="D218:F218" si="19">D217/D216</f>
        <v>#DIV/0!</v>
      </c>
      <c r="E218" s="194" t="e">
        <f t="shared" si="19"/>
        <v>#DIV/0!</v>
      </c>
      <c r="F218" s="194" t="e">
        <f t="shared" si="19"/>
        <v>#DIV/0!</v>
      </c>
    </row>
    <row r="219" spans="2:6" ht="15.75" thickBot="1" x14ac:dyDescent="0.3">
      <c r="B219" s="229" t="s">
        <v>22</v>
      </c>
      <c r="C219" s="642" t="s">
        <v>23</v>
      </c>
      <c r="D219" s="234" t="e">
        <f>D216/C216-1</f>
        <v>#DIV/0!</v>
      </c>
      <c r="E219" s="234" t="e">
        <f t="shared" ref="E219:F221" si="20">E216/D216-1</f>
        <v>#DIV/0!</v>
      </c>
      <c r="F219" s="234" t="e">
        <f t="shared" si="20"/>
        <v>#DIV/0!</v>
      </c>
    </row>
    <row r="220" spans="2:6" ht="15.75" thickBot="1" x14ac:dyDescent="0.3">
      <c r="B220" s="229" t="s">
        <v>24</v>
      </c>
      <c r="C220" s="642" t="s">
        <v>23</v>
      </c>
      <c r="D220" s="234" t="e">
        <f>D217/C217-1</f>
        <v>#DIV/0!</v>
      </c>
      <c r="E220" s="234" t="e">
        <f t="shared" si="20"/>
        <v>#DIV/0!</v>
      </c>
      <c r="F220" s="234" t="e">
        <f t="shared" si="20"/>
        <v>#DIV/0!</v>
      </c>
    </row>
    <row r="221" spans="2:6" ht="15.75" thickBot="1" x14ac:dyDescent="0.3">
      <c r="B221" s="229" t="s">
        <v>25</v>
      </c>
      <c r="C221" s="642" t="s">
        <v>23</v>
      </c>
      <c r="D221" s="234" t="e">
        <f>D218/C218-1</f>
        <v>#DIV/0!</v>
      </c>
      <c r="E221" s="234" t="e">
        <f t="shared" si="20"/>
        <v>#DIV/0!</v>
      </c>
      <c r="F221" s="234" t="e">
        <f t="shared" si="20"/>
        <v>#DIV/0!</v>
      </c>
    </row>
    <row r="222" spans="2:6" ht="15.75" thickBot="1" x14ac:dyDescent="0.3">
      <c r="B222" s="1203" t="s">
        <v>786</v>
      </c>
      <c r="C222" s="1204"/>
      <c r="D222" s="1204"/>
      <c r="E222" s="1204"/>
      <c r="F222" s="1205"/>
    </row>
    <row r="223" spans="2:6" x14ac:dyDescent="0.25">
      <c r="B223" s="1206"/>
      <c r="C223" s="231">
        <v>2018</v>
      </c>
      <c r="D223" s="231">
        <v>2019</v>
      </c>
      <c r="E223" s="231">
        <v>2020</v>
      </c>
      <c r="F223" s="231">
        <v>2021</v>
      </c>
    </row>
    <row r="224" spans="2:6" ht="15.75" thickBot="1" x14ac:dyDescent="0.3">
      <c r="B224" s="1207"/>
      <c r="C224" s="232" t="s">
        <v>10</v>
      </c>
      <c r="D224" s="232" t="s">
        <v>11</v>
      </c>
      <c r="E224" s="232" t="s">
        <v>11</v>
      </c>
      <c r="F224" s="232" t="s">
        <v>11</v>
      </c>
    </row>
    <row r="225" spans="2:6" ht="15.75" thickBot="1" x14ac:dyDescent="0.3">
      <c r="B225" s="235" t="s">
        <v>58</v>
      </c>
      <c r="C225" s="236"/>
      <c r="D225" s="236"/>
      <c r="E225" s="236"/>
      <c r="F225" s="236"/>
    </row>
    <row r="226" spans="2:6" ht="15.75" thickBot="1" x14ac:dyDescent="0.3">
      <c r="B226" s="235" t="s">
        <v>59</v>
      </c>
      <c r="C226" s="201"/>
      <c r="D226" s="236"/>
      <c r="E226" s="236"/>
      <c r="F226" s="236"/>
    </row>
    <row r="227" spans="2:6" ht="15.75" thickBot="1" x14ac:dyDescent="0.3">
      <c r="B227" s="199" t="s">
        <v>40</v>
      </c>
      <c r="C227" s="201">
        <f>C226+C225</f>
        <v>0</v>
      </c>
      <c r="D227" s="201">
        <f t="shared" ref="D227:F227" si="21">D226+D225</f>
        <v>0</v>
      </c>
      <c r="E227" s="201">
        <f t="shared" si="21"/>
        <v>0</v>
      </c>
      <c r="F227" s="201">
        <f t="shared" si="21"/>
        <v>0</v>
      </c>
    </row>
    <row r="228" spans="2:6" ht="15.75" thickBot="1" x14ac:dyDescent="0.3">
      <c r="B228" s="229" t="s">
        <v>61</v>
      </c>
      <c r="C228" s="1651"/>
      <c r="D228" s="1652"/>
      <c r="E228" s="1652"/>
      <c r="F228" s="1653"/>
    </row>
    <row r="229" spans="2:6" ht="15.75" thickBot="1" x14ac:dyDescent="0.3">
      <c r="B229" s="230" t="s">
        <v>129</v>
      </c>
      <c r="C229" s="1235"/>
      <c r="D229" s="1236"/>
      <c r="E229" s="1236"/>
      <c r="F229" s="1237"/>
    </row>
    <row r="230" spans="2:6" ht="15.75" thickBot="1" x14ac:dyDescent="0.3">
      <c r="B230" s="229" t="s">
        <v>17</v>
      </c>
      <c r="C230" s="1069"/>
      <c r="D230" s="1070"/>
      <c r="E230" s="1070"/>
      <c r="F230" s="1071"/>
    </row>
    <row r="231" spans="2:6" ht="15.75" thickBot="1" x14ac:dyDescent="0.3">
      <c r="B231" s="229" t="s">
        <v>18</v>
      </c>
      <c r="C231" s="1235"/>
      <c r="D231" s="1236"/>
      <c r="E231" s="1236"/>
      <c r="F231" s="1237"/>
    </row>
    <row r="232" spans="2:6" x14ac:dyDescent="0.25">
      <c r="B232" s="1206"/>
      <c r="C232" s="231">
        <v>2018</v>
      </c>
      <c r="D232" s="231">
        <v>2019</v>
      </c>
      <c r="E232" s="231">
        <v>2020</v>
      </c>
      <c r="F232" s="231">
        <v>2021</v>
      </c>
    </row>
    <row r="233" spans="2:6" ht="15.75" thickBot="1" x14ac:dyDescent="0.3">
      <c r="B233" s="1207"/>
      <c r="C233" s="232" t="s">
        <v>10</v>
      </c>
      <c r="D233" s="232" t="s">
        <v>11</v>
      </c>
      <c r="E233" s="232" t="s">
        <v>11</v>
      </c>
      <c r="F233" s="232" t="s">
        <v>11</v>
      </c>
    </row>
    <row r="234" spans="2:6" ht="15.75" thickBot="1" x14ac:dyDescent="0.3">
      <c r="B234" s="229" t="s">
        <v>19</v>
      </c>
      <c r="C234" s="194"/>
      <c r="D234" s="194">
        <v>0</v>
      </c>
      <c r="E234" s="194">
        <v>0</v>
      </c>
      <c r="F234" s="194">
        <v>0</v>
      </c>
    </row>
    <row r="235" spans="2:6" ht="15.75" thickBot="1" x14ac:dyDescent="0.3">
      <c r="B235" s="229" t="s">
        <v>20</v>
      </c>
      <c r="C235" s="194"/>
      <c r="D235" s="194">
        <v>0</v>
      </c>
      <c r="E235" s="194">
        <v>0</v>
      </c>
      <c r="F235" s="194">
        <v>0</v>
      </c>
    </row>
    <row r="236" spans="2:6" ht="15.75" thickBot="1" x14ac:dyDescent="0.3">
      <c r="B236" s="229" t="s">
        <v>21</v>
      </c>
      <c r="C236" s="194" t="e">
        <f>C235/C234</f>
        <v>#DIV/0!</v>
      </c>
      <c r="D236" s="194" t="e">
        <f t="shared" ref="D236:F236" si="22">D235/D234</f>
        <v>#DIV/0!</v>
      </c>
      <c r="E236" s="194" t="e">
        <f t="shared" si="22"/>
        <v>#DIV/0!</v>
      </c>
      <c r="F236" s="194" t="e">
        <f t="shared" si="22"/>
        <v>#DIV/0!</v>
      </c>
    </row>
    <row r="237" spans="2:6" ht="15.75" thickBot="1" x14ac:dyDescent="0.3">
      <c r="B237" s="229" t="s">
        <v>22</v>
      </c>
      <c r="C237" s="642" t="s">
        <v>23</v>
      </c>
      <c r="D237" s="234" t="e">
        <f>D234/C234-1</f>
        <v>#DIV/0!</v>
      </c>
      <c r="E237" s="234" t="e">
        <f t="shared" ref="E237:F239" si="23">E234/D234-1</f>
        <v>#DIV/0!</v>
      </c>
      <c r="F237" s="234" t="e">
        <f t="shared" si="23"/>
        <v>#DIV/0!</v>
      </c>
    </row>
    <row r="238" spans="2:6" ht="15.75" thickBot="1" x14ac:dyDescent="0.3">
      <c r="B238" s="229" t="s">
        <v>24</v>
      </c>
      <c r="C238" s="642" t="s">
        <v>23</v>
      </c>
      <c r="D238" s="234" t="e">
        <f>D235/C235-1</f>
        <v>#DIV/0!</v>
      </c>
      <c r="E238" s="234" t="e">
        <f t="shared" si="23"/>
        <v>#DIV/0!</v>
      </c>
      <c r="F238" s="234" t="e">
        <f t="shared" si="23"/>
        <v>#DIV/0!</v>
      </c>
    </row>
    <row r="239" spans="2:6" ht="15.75" thickBot="1" x14ac:dyDescent="0.3">
      <c r="B239" s="229" t="s">
        <v>25</v>
      </c>
      <c r="C239" s="642" t="s">
        <v>23</v>
      </c>
      <c r="D239" s="234" t="e">
        <f>D236/C236-1</f>
        <v>#DIV/0!</v>
      </c>
      <c r="E239" s="234" t="e">
        <f t="shared" si="23"/>
        <v>#DIV/0!</v>
      </c>
      <c r="F239" s="234" t="e">
        <f t="shared" si="23"/>
        <v>#DIV/0!</v>
      </c>
    </row>
    <row r="240" spans="2:6" ht="15.75" thickBot="1" x14ac:dyDescent="0.3">
      <c r="B240" s="1203" t="s">
        <v>793</v>
      </c>
      <c r="C240" s="1204"/>
      <c r="D240" s="1204"/>
      <c r="E240" s="1204"/>
      <c r="F240" s="1205"/>
    </row>
    <row r="241" spans="2:6" x14ac:dyDescent="0.25">
      <c r="B241" s="1206"/>
      <c r="C241" s="231">
        <v>2018</v>
      </c>
      <c r="D241" s="231">
        <v>2019</v>
      </c>
      <c r="E241" s="231">
        <v>2020</v>
      </c>
      <c r="F241" s="231">
        <v>2021</v>
      </c>
    </row>
    <row r="242" spans="2:6" ht="15.75" thickBot="1" x14ac:dyDescent="0.3">
      <c r="B242" s="1207"/>
      <c r="C242" s="232" t="s">
        <v>10</v>
      </c>
      <c r="D242" s="232" t="s">
        <v>11</v>
      </c>
      <c r="E242" s="232" t="s">
        <v>11</v>
      </c>
      <c r="F242" s="232" t="s">
        <v>11</v>
      </c>
    </row>
    <row r="243" spans="2:6" ht="15.75" thickBot="1" x14ac:dyDescent="0.3">
      <c r="B243" s="235" t="s">
        <v>58</v>
      </c>
      <c r="C243" s="236"/>
      <c r="D243" s="236"/>
      <c r="E243" s="236"/>
      <c r="F243" s="236"/>
    </row>
    <row r="244" spans="2:6" ht="15.75" thickBot="1" x14ac:dyDescent="0.3">
      <c r="B244" s="235" t="s">
        <v>59</v>
      </c>
      <c r="C244" s="201"/>
      <c r="D244" s="236"/>
      <c r="E244" s="236"/>
      <c r="F244" s="236"/>
    </row>
    <row r="245" spans="2:6" ht="15.75" thickBot="1" x14ac:dyDescent="0.3">
      <c r="B245" s="199" t="s">
        <v>74</v>
      </c>
      <c r="C245" s="201">
        <f>C244+C243</f>
        <v>0</v>
      </c>
      <c r="D245" s="201">
        <f t="shared" ref="D245:F245" si="24">D244+D243</f>
        <v>0</v>
      </c>
      <c r="E245" s="201">
        <f t="shared" si="24"/>
        <v>0</v>
      </c>
      <c r="F245" s="201">
        <f t="shared" si="24"/>
        <v>0</v>
      </c>
    </row>
    <row r="246" spans="2:6" ht="15.75" thickBot="1" x14ac:dyDescent="0.3">
      <c r="B246" s="1229" t="s">
        <v>63</v>
      </c>
      <c r="C246" s="1230"/>
      <c r="D246" s="1230"/>
      <c r="E246" s="1230"/>
      <c r="F246" s="1231"/>
    </row>
    <row r="247" spans="2:6" ht="15.75" thickBot="1" x14ac:dyDescent="0.3">
      <c r="B247" s="1229" t="s">
        <v>64</v>
      </c>
      <c r="C247" s="1230"/>
      <c r="D247" s="1230"/>
      <c r="E247" s="1230"/>
      <c r="F247" s="1231"/>
    </row>
    <row r="248" spans="2:6" ht="15.75" thickBot="1" x14ac:dyDescent="0.3">
      <c r="B248" s="67" t="s">
        <v>61</v>
      </c>
      <c r="C248" s="1009"/>
      <c r="D248" s="1010"/>
      <c r="E248" s="1010"/>
      <c r="F248" s="1011"/>
    </row>
    <row r="249" spans="2:6" ht="15.75" thickBot="1" x14ac:dyDescent="0.3">
      <c r="B249" s="160" t="s">
        <v>44</v>
      </c>
      <c r="C249" s="992" t="s">
        <v>1406</v>
      </c>
      <c r="D249" s="993"/>
      <c r="E249" s="993"/>
      <c r="F249" s="994"/>
    </row>
    <row r="250" spans="2:6" ht="15.75" thickBot="1" x14ac:dyDescent="0.3">
      <c r="B250" s="62" t="s">
        <v>17</v>
      </c>
      <c r="C250" s="983" t="s">
        <v>1407</v>
      </c>
      <c r="D250" s="984"/>
      <c r="E250" s="984"/>
      <c r="F250" s="985"/>
    </row>
    <row r="251" spans="2:6" ht="15.75" thickBot="1" x14ac:dyDescent="0.3">
      <c r="B251" s="62" t="s">
        <v>18</v>
      </c>
      <c r="C251" s="995" t="s">
        <v>1400</v>
      </c>
      <c r="D251" s="996"/>
      <c r="E251" s="996"/>
      <c r="F251" s="997"/>
    </row>
    <row r="252" spans="2:6" x14ac:dyDescent="0.25">
      <c r="B252" s="998"/>
      <c r="C252" s="63">
        <v>2018</v>
      </c>
      <c r="D252" s="63">
        <v>2019</v>
      </c>
      <c r="E252" s="63">
        <v>2020</v>
      </c>
      <c r="F252" s="63">
        <v>2021</v>
      </c>
    </row>
    <row r="253" spans="2:6" ht="15.75" thickBot="1" x14ac:dyDescent="0.3">
      <c r="B253" s="999"/>
      <c r="C253" s="64" t="s">
        <v>10</v>
      </c>
      <c r="D253" s="64" t="s">
        <v>11</v>
      </c>
      <c r="E253" s="64" t="s">
        <v>11</v>
      </c>
      <c r="F253" s="64" t="s">
        <v>11</v>
      </c>
    </row>
    <row r="254" spans="2:6" ht="15.75" thickBot="1" x14ac:dyDescent="0.3">
      <c r="B254" s="62" t="s">
        <v>19</v>
      </c>
      <c r="C254" s="161"/>
      <c r="D254" s="161">
        <v>1</v>
      </c>
      <c r="E254" s="161">
        <v>1</v>
      </c>
      <c r="F254" s="161">
        <v>0</v>
      </c>
    </row>
    <row r="255" spans="2:6" ht="15.75" thickBot="1" x14ac:dyDescent="0.3">
      <c r="B255" s="62" t="s">
        <v>20</v>
      </c>
      <c r="C255" s="161"/>
      <c r="D255" s="161">
        <v>30000</v>
      </c>
      <c r="E255" s="161">
        <v>22500</v>
      </c>
      <c r="F255" s="161">
        <v>0</v>
      </c>
    </row>
    <row r="256" spans="2:6" ht="15.75" thickBot="1" x14ac:dyDescent="0.3">
      <c r="B256" s="62" t="s">
        <v>21</v>
      </c>
      <c r="C256" s="161" t="e">
        <f>C255/C254</f>
        <v>#DIV/0!</v>
      </c>
      <c r="D256" s="161">
        <f t="shared" ref="D256:F256" si="25">D255/D254</f>
        <v>30000</v>
      </c>
      <c r="E256" s="161">
        <f t="shared" si="25"/>
        <v>22500</v>
      </c>
      <c r="F256" s="161" t="e">
        <f t="shared" si="25"/>
        <v>#DIV/0!</v>
      </c>
    </row>
    <row r="257" spans="2:6" ht="15.75" thickBot="1" x14ac:dyDescent="0.3">
      <c r="B257" s="62" t="s">
        <v>22</v>
      </c>
      <c r="C257" s="636" t="s">
        <v>23</v>
      </c>
      <c r="D257" s="162" t="e">
        <f>D254/C254-1</f>
        <v>#DIV/0!</v>
      </c>
      <c r="E257" s="162">
        <f t="shared" ref="E257:F259" si="26">E254/D254-1</f>
        <v>0</v>
      </c>
      <c r="F257" s="162">
        <f t="shared" si="26"/>
        <v>-1</v>
      </c>
    </row>
    <row r="258" spans="2:6" ht="15.75" thickBot="1" x14ac:dyDescent="0.3">
      <c r="B258" s="62" t="s">
        <v>24</v>
      </c>
      <c r="C258" s="636" t="s">
        <v>23</v>
      </c>
      <c r="D258" s="162" t="e">
        <f>D255/C255-1</f>
        <v>#DIV/0!</v>
      </c>
      <c r="E258" s="162">
        <f t="shared" si="26"/>
        <v>-0.25</v>
      </c>
      <c r="F258" s="162">
        <f t="shared" si="26"/>
        <v>-1</v>
      </c>
    </row>
    <row r="259" spans="2:6" ht="15.75" thickBot="1" x14ac:dyDescent="0.3">
      <c r="B259" s="62" t="s">
        <v>25</v>
      </c>
      <c r="C259" s="636" t="s">
        <v>23</v>
      </c>
      <c r="D259" s="162" t="e">
        <f>D256/C256-1</f>
        <v>#DIV/0!</v>
      </c>
      <c r="E259" s="162">
        <f t="shared" si="26"/>
        <v>-0.25</v>
      </c>
      <c r="F259" s="162" t="e">
        <f t="shared" si="26"/>
        <v>#DIV/0!</v>
      </c>
    </row>
    <row r="260" spans="2:6" ht="15.75" thickBot="1" x14ac:dyDescent="0.3">
      <c r="B260" s="1000" t="s">
        <v>787</v>
      </c>
      <c r="C260" s="1001"/>
      <c r="D260" s="1001"/>
      <c r="E260" s="1001"/>
      <c r="F260" s="1002"/>
    </row>
    <row r="261" spans="2:6" x14ac:dyDescent="0.25">
      <c r="B261" s="998"/>
      <c r="C261" s="63">
        <v>2018</v>
      </c>
      <c r="D261" s="63">
        <v>2019</v>
      </c>
      <c r="E261" s="63">
        <v>2020</v>
      </c>
      <c r="F261" s="63">
        <v>2021</v>
      </c>
    </row>
    <row r="262" spans="2:6" ht="15.75" thickBot="1" x14ac:dyDescent="0.3">
      <c r="B262" s="999"/>
      <c r="C262" s="64" t="s">
        <v>10</v>
      </c>
      <c r="D262" s="64" t="s">
        <v>11</v>
      </c>
      <c r="E262" s="64" t="s">
        <v>11</v>
      </c>
      <c r="F262" s="64" t="s">
        <v>11</v>
      </c>
    </row>
    <row r="263" spans="2:6" ht="15.75" thickBot="1" x14ac:dyDescent="0.3">
      <c r="B263" s="65" t="s">
        <v>58</v>
      </c>
      <c r="C263" s="164"/>
      <c r="D263" s="164"/>
      <c r="E263" s="164"/>
      <c r="F263" s="164"/>
    </row>
    <row r="264" spans="2:6" ht="15.75" thickBot="1" x14ac:dyDescent="0.3">
      <c r="B264" s="65" t="s">
        <v>59</v>
      </c>
      <c r="C264" s="161"/>
      <c r="D264" s="161">
        <v>30000</v>
      </c>
      <c r="E264" s="161">
        <v>22500</v>
      </c>
      <c r="F264" s="164"/>
    </row>
    <row r="265" spans="2:6" ht="15.75" thickBot="1" x14ac:dyDescent="0.3">
      <c r="B265" s="66" t="s">
        <v>52</v>
      </c>
      <c r="C265" s="165">
        <f>C264+C263</f>
        <v>0</v>
      </c>
      <c r="D265" s="165">
        <f t="shared" ref="D265:F265" si="27">D264+D263</f>
        <v>30000</v>
      </c>
      <c r="E265" s="165">
        <f t="shared" si="27"/>
        <v>22500</v>
      </c>
      <c r="F265" s="165">
        <f t="shared" si="27"/>
        <v>0</v>
      </c>
    </row>
    <row r="266" spans="2:6" ht="15.75" thickBot="1" x14ac:dyDescent="0.3">
      <c r="B266" s="67" t="s">
        <v>61</v>
      </c>
      <c r="C266" s="1009" t="s">
        <v>130</v>
      </c>
      <c r="D266" s="1010"/>
      <c r="E266" s="1010"/>
      <c r="F266" s="1011"/>
    </row>
    <row r="267" spans="2:6" ht="15.75" thickBot="1" x14ac:dyDescent="0.3">
      <c r="B267" s="160" t="s">
        <v>129</v>
      </c>
      <c r="C267" s="992" t="s">
        <v>106</v>
      </c>
      <c r="D267" s="993"/>
      <c r="E267" s="993"/>
      <c r="F267" s="994"/>
    </row>
    <row r="268" spans="2:6" ht="15.75" thickBot="1" x14ac:dyDescent="0.3">
      <c r="B268" s="62" t="s">
        <v>17</v>
      </c>
      <c r="C268" s="983" t="s">
        <v>106</v>
      </c>
      <c r="D268" s="984"/>
      <c r="E268" s="984"/>
      <c r="F268" s="985"/>
    </row>
    <row r="269" spans="2:6" ht="15.75" thickBot="1" x14ac:dyDescent="0.3">
      <c r="B269" s="62" t="s">
        <v>18</v>
      </c>
      <c r="C269" s="995" t="s">
        <v>106</v>
      </c>
      <c r="D269" s="996"/>
      <c r="E269" s="996"/>
      <c r="F269" s="997"/>
    </row>
    <row r="270" spans="2:6" x14ac:dyDescent="0.25">
      <c r="B270" s="998"/>
      <c r="C270" s="63">
        <v>2018</v>
      </c>
      <c r="D270" s="63">
        <v>2019</v>
      </c>
      <c r="E270" s="63">
        <v>2020</v>
      </c>
      <c r="F270" s="63">
        <v>2021</v>
      </c>
    </row>
    <row r="271" spans="2:6" ht="15.75" thickBot="1" x14ac:dyDescent="0.3">
      <c r="B271" s="999"/>
      <c r="C271" s="64" t="s">
        <v>10</v>
      </c>
      <c r="D271" s="64" t="s">
        <v>11</v>
      </c>
      <c r="E271" s="64" t="s">
        <v>11</v>
      </c>
      <c r="F271" s="64" t="s">
        <v>11</v>
      </c>
    </row>
    <row r="272" spans="2:6" ht="15.75" thickBot="1" x14ac:dyDescent="0.3">
      <c r="B272" s="62" t="s">
        <v>19</v>
      </c>
      <c r="C272" s="161"/>
      <c r="D272" s="161"/>
      <c r="E272" s="161"/>
      <c r="F272" s="161"/>
    </row>
    <row r="273" spans="2:6" ht="15.75" thickBot="1" x14ac:dyDescent="0.3">
      <c r="B273" s="62" t="s">
        <v>20</v>
      </c>
      <c r="C273" s="161"/>
      <c r="D273" s="161"/>
      <c r="E273" s="161"/>
      <c r="F273" s="161"/>
    </row>
    <row r="274" spans="2:6" ht="15.75" thickBot="1" x14ac:dyDescent="0.3">
      <c r="B274" s="62" t="s">
        <v>21</v>
      </c>
      <c r="C274" s="161" t="e">
        <f>C273/C272</f>
        <v>#DIV/0!</v>
      </c>
      <c r="D274" s="161" t="e">
        <f t="shared" ref="D274:F274" si="28">D273/D272</f>
        <v>#DIV/0!</v>
      </c>
      <c r="E274" s="161" t="e">
        <f t="shared" si="28"/>
        <v>#DIV/0!</v>
      </c>
      <c r="F274" s="161" t="e">
        <f t="shared" si="28"/>
        <v>#DIV/0!</v>
      </c>
    </row>
    <row r="275" spans="2:6" ht="15.75" thickBot="1" x14ac:dyDescent="0.3">
      <c r="B275" s="62" t="s">
        <v>22</v>
      </c>
      <c r="C275" s="636" t="s">
        <v>23</v>
      </c>
      <c r="D275" s="162" t="e">
        <f>D272/C272-1</f>
        <v>#DIV/0!</v>
      </c>
      <c r="E275" s="162" t="e">
        <f t="shared" ref="E275:F277" si="29">E272/D272-1</f>
        <v>#DIV/0!</v>
      </c>
      <c r="F275" s="162" t="e">
        <f t="shared" si="29"/>
        <v>#DIV/0!</v>
      </c>
    </row>
    <row r="276" spans="2:6" ht="15.75" thickBot="1" x14ac:dyDescent="0.3">
      <c r="B276" s="62" t="s">
        <v>24</v>
      </c>
      <c r="C276" s="636" t="s">
        <v>23</v>
      </c>
      <c r="D276" s="162" t="e">
        <f>D273/C273-1</f>
        <v>#DIV/0!</v>
      </c>
      <c r="E276" s="162" t="e">
        <f t="shared" si="29"/>
        <v>#DIV/0!</v>
      </c>
      <c r="F276" s="162" t="e">
        <f t="shared" si="29"/>
        <v>#DIV/0!</v>
      </c>
    </row>
    <row r="277" spans="2:6" ht="15.75" thickBot="1" x14ac:dyDescent="0.3">
      <c r="B277" s="62" t="s">
        <v>25</v>
      </c>
      <c r="C277" s="636" t="s">
        <v>23</v>
      </c>
      <c r="D277" s="162" t="e">
        <f>D274/C274-1</f>
        <v>#DIV/0!</v>
      </c>
      <c r="E277" s="162" t="e">
        <f t="shared" si="29"/>
        <v>#DIV/0!</v>
      </c>
      <c r="F277" s="162" t="e">
        <f t="shared" si="29"/>
        <v>#DIV/0!</v>
      </c>
    </row>
    <row r="278" spans="2:6" ht="15.75" thickBot="1" x14ac:dyDescent="0.3">
      <c r="B278" s="1000" t="s">
        <v>793</v>
      </c>
      <c r="C278" s="1001"/>
      <c r="D278" s="1001"/>
      <c r="E278" s="1001"/>
      <c r="F278" s="1002"/>
    </row>
    <row r="279" spans="2:6" x14ac:dyDescent="0.25">
      <c r="B279" s="998"/>
      <c r="C279" s="63">
        <v>2018</v>
      </c>
      <c r="D279" s="63">
        <v>2019</v>
      </c>
      <c r="E279" s="63">
        <v>2020</v>
      </c>
      <c r="F279" s="63">
        <v>2021</v>
      </c>
    </row>
    <row r="280" spans="2:6" ht="15.75" thickBot="1" x14ac:dyDescent="0.3">
      <c r="B280" s="999"/>
      <c r="C280" s="64" t="s">
        <v>10</v>
      </c>
      <c r="D280" s="64" t="s">
        <v>11</v>
      </c>
      <c r="E280" s="64" t="s">
        <v>11</v>
      </c>
      <c r="F280" s="64" t="s">
        <v>11</v>
      </c>
    </row>
    <row r="281" spans="2:6" ht="15.75" thickBot="1" x14ac:dyDescent="0.3">
      <c r="B281" s="65" t="s">
        <v>58</v>
      </c>
      <c r="C281" s="164"/>
      <c r="D281" s="164"/>
      <c r="E281" s="164"/>
      <c r="F281" s="164"/>
    </row>
    <row r="282" spans="2:6" ht="15.75" thickBot="1" x14ac:dyDescent="0.3">
      <c r="B282" s="65" t="s">
        <v>59</v>
      </c>
      <c r="C282" s="165"/>
      <c r="D282" s="164"/>
      <c r="E282" s="164"/>
      <c r="F282" s="164"/>
    </row>
    <row r="283" spans="2:6" ht="15.75" thickBot="1" x14ac:dyDescent="0.3">
      <c r="B283" s="66" t="s">
        <v>74</v>
      </c>
      <c r="C283" s="165">
        <f>C282+C281</f>
        <v>0</v>
      </c>
      <c r="D283" s="165">
        <f t="shared" ref="D283:F283" si="30">D282+D281</f>
        <v>0</v>
      </c>
      <c r="E283" s="165">
        <f t="shared" si="30"/>
        <v>0</v>
      </c>
      <c r="F283" s="165">
        <f t="shared" si="30"/>
        <v>0</v>
      </c>
    </row>
    <row r="284" spans="2:6" ht="15.75" thickBot="1" x14ac:dyDescent="0.3">
      <c r="B284" s="175"/>
      <c r="C284" s="176"/>
      <c r="D284" s="176"/>
      <c r="E284" s="176"/>
      <c r="F284" s="176"/>
    </row>
    <row r="285" spans="2:6" ht="30.75" thickBot="1" x14ac:dyDescent="0.3">
      <c r="B285" s="158" t="s">
        <v>82</v>
      </c>
      <c r="C285" s="177">
        <f>C273+C255+C235+C217+C191+C166+C140+C122+C102+C81+C55+C32</f>
        <v>50800</v>
      </c>
      <c r="D285" s="177">
        <f>D273+D255+D235+D217+D191+D166+D140+D122+D102+D81+D55+D32</f>
        <v>95415</v>
      </c>
      <c r="E285" s="177">
        <f>E273+E255+E235+E217+E191+E166+E140+E122+E102+E81+E55+E32</f>
        <v>93215</v>
      </c>
      <c r="F285" s="177">
        <f>F273+F255+F235+F217+F191+F166+F140+F122+F102+F81+F55+F32</f>
        <v>48415</v>
      </c>
    </row>
    <row r="286" spans="2:6" ht="30.75" thickBot="1" x14ac:dyDescent="0.3">
      <c r="B286" s="158" t="s">
        <v>83</v>
      </c>
      <c r="C286" s="177">
        <f>C288+C290+C292+C294+C296+C298+C300+C302+C304</f>
        <v>50800</v>
      </c>
      <c r="D286" s="177">
        <f>D288+D290+D292+D294+D296+D298+D300+D302+D304</f>
        <v>95415</v>
      </c>
      <c r="E286" s="177">
        <f>E288+E290+E292+E294+E296+E298+E300+E302+E304</f>
        <v>93215</v>
      </c>
      <c r="F286" s="177">
        <f>F288+F290+F292+F294+F296+F298+F300+F302+F304</f>
        <v>48415</v>
      </c>
    </row>
    <row r="287" spans="2:6" ht="15.75" thickBot="1" x14ac:dyDescent="0.3">
      <c r="B287" s="178" t="s">
        <v>84</v>
      </c>
      <c r="C287" s="179"/>
      <c r="D287" s="180">
        <f>D286/C286-1</f>
        <v>0.87824803149606301</v>
      </c>
      <c r="E287" s="180">
        <f t="shared" ref="E287:F287" si="31">E286/D286-1</f>
        <v>-2.3057171304302293E-2</v>
      </c>
      <c r="F287" s="180">
        <f t="shared" si="31"/>
        <v>-0.48060934398970123</v>
      </c>
    </row>
    <row r="288" spans="2:6" ht="15.75" thickBot="1" x14ac:dyDescent="0.3">
      <c r="B288" s="65" t="s">
        <v>26</v>
      </c>
      <c r="C288" s="164">
        <f>C199+C176+C63+C40</f>
        <v>16900</v>
      </c>
      <c r="D288" s="164">
        <f>D199+D176+D63+D40</f>
        <v>24349</v>
      </c>
      <c r="E288" s="164">
        <f>E199+E176+E63+E40</f>
        <v>24349</v>
      </c>
      <c r="F288" s="164">
        <f>F199+F176+F63+F40</f>
        <v>24349</v>
      </c>
    </row>
    <row r="289" spans="2:6" ht="15.75" thickBot="1" x14ac:dyDescent="0.3">
      <c r="B289" s="181" t="s">
        <v>85</v>
      </c>
      <c r="C289" s="165"/>
      <c r="D289" s="182">
        <f>D288/C288-1</f>
        <v>0.4407692307692308</v>
      </c>
      <c r="E289" s="182">
        <f t="shared" ref="E289:F289" si="32">E288/D288-1</f>
        <v>0</v>
      </c>
      <c r="F289" s="182">
        <f t="shared" si="32"/>
        <v>0</v>
      </c>
    </row>
    <row r="290" spans="2:6" ht="15.75" thickBot="1" x14ac:dyDescent="0.3">
      <c r="B290" s="65" t="s">
        <v>28</v>
      </c>
      <c r="C290" s="164">
        <f>C200+C177+C64+C41</f>
        <v>2400</v>
      </c>
      <c r="D290" s="164">
        <f>D200+D177+D64+D41</f>
        <v>4066</v>
      </c>
      <c r="E290" s="164">
        <f>E200+E177+E64+E41</f>
        <v>4066</v>
      </c>
      <c r="F290" s="164">
        <f>F200+F177+F64+F41</f>
        <v>4066</v>
      </c>
    </row>
    <row r="291" spans="2:6" ht="15.75" thickBot="1" x14ac:dyDescent="0.3">
      <c r="B291" s="181" t="s">
        <v>86</v>
      </c>
      <c r="C291" s="165"/>
      <c r="D291" s="182">
        <f>D290/C290-1</f>
        <v>0.6941666666666666</v>
      </c>
      <c r="E291" s="182">
        <f t="shared" ref="E291:F291" si="33">E290/D290-1</f>
        <v>0</v>
      </c>
      <c r="F291" s="182">
        <f t="shared" si="33"/>
        <v>0</v>
      </c>
    </row>
    <row r="292" spans="2:6" ht="15.75" thickBot="1" x14ac:dyDescent="0.3">
      <c r="B292" s="65" t="s">
        <v>30</v>
      </c>
      <c r="C292" s="164">
        <f>C201+C178+C65+C42</f>
        <v>13500</v>
      </c>
      <c r="D292" s="164">
        <f>D201+D178+D65+D42</f>
        <v>20000</v>
      </c>
      <c r="E292" s="164">
        <f>E201+E178+E65+E42</f>
        <v>20000</v>
      </c>
      <c r="F292" s="164">
        <f>F201+F178+F65+F42</f>
        <v>20000</v>
      </c>
    </row>
    <row r="293" spans="2:6" ht="15.75" thickBot="1" x14ac:dyDescent="0.3">
      <c r="B293" s="181" t="s">
        <v>87</v>
      </c>
      <c r="C293" s="165"/>
      <c r="D293" s="182">
        <f>D292/C292-1</f>
        <v>0.4814814814814814</v>
      </c>
      <c r="E293" s="182">
        <f t="shared" ref="E293:F293" si="34">E292/D292-1</f>
        <v>0</v>
      </c>
      <c r="F293" s="182">
        <f t="shared" si="34"/>
        <v>0</v>
      </c>
    </row>
    <row r="294" spans="2:6" ht="15.75" thickBot="1" x14ac:dyDescent="0.3">
      <c r="B294" s="65" t="s">
        <v>32</v>
      </c>
      <c r="C294" s="164">
        <f>C202+C179+C66+C43</f>
        <v>0</v>
      </c>
      <c r="D294" s="164">
        <f>D202+D179+D66+D43</f>
        <v>0</v>
      </c>
      <c r="E294" s="164">
        <f>E202+E179+E66+E43</f>
        <v>0</v>
      </c>
      <c r="F294" s="164">
        <f>F202+F179+F66+F43</f>
        <v>0</v>
      </c>
    </row>
    <row r="295" spans="2:6" ht="15.75" thickBot="1" x14ac:dyDescent="0.3">
      <c r="B295" s="181" t="s">
        <v>88</v>
      </c>
      <c r="C295" s="165"/>
      <c r="D295" s="182" t="e">
        <f>D294/C294-1</f>
        <v>#DIV/0!</v>
      </c>
      <c r="E295" s="182" t="e">
        <f t="shared" ref="E295:F295" si="35">E294/D294-1</f>
        <v>#DIV/0!</v>
      </c>
      <c r="F295" s="182" t="e">
        <f t="shared" si="35"/>
        <v>#DIV/0!</v>
      </c>
    </row>
    <row r="296" spans="2:6" ht="15.75" thickBot="1" x14ac:dyDescent="0.3">
      <c r="B296" s="65" t="s">
        <v>34</v>
      </c>
      <c r="C296" s="164">
        <f>C203+C180+C67+C44</f>
        <v>0</v>
      </c>
      <c r="D296" s="164">
        <f>D203+D180+D67+D44</f>
        <v>0</v>
      </c>
      <c r="E296" s="164">
        <f>E203+E180+E67+E44</f>
        <v>0</v>
      </c>
      <c r="F296" s="164">
        <f>F203+F180+F67+F44</f>
        <v>0</v>
      </c>
    </row>
    <row r="297" spans="2:6" ht="15.75" thickBot="1" x14ac:dyDescent="0.3">
      <c r="B297" s="181" t="s">
        <v>89</v>
      </c>
      <c r="C297" s="165"/>
      <c r="D297" s="182" t="e">
        <f>D296/C296-1</f>
        <v>#DIV/0!</v>
      </c>
      <c r="E297" s="182" t="e">
        <f t="shared" ref="E297:F297" si="36">E296/D296-1</f>
        <v>#DIV/0!</v>
      </c>
      <c r="F297" s="182" t="e">
        <f t="shared" si="36"/>
        <v>#DIV/0!</v>
      </c>
    </row>
    <row r="298" spans="2:6" ht="15.75" thickBot="1" x14ac:dyDescent="0.3">
      <c r="B298" s="65" t="s">
        <v>36</v>
      </c>
      <c r="C298" s="164">
        <f>C204+C181+C68+C45</f>
        <v>0</v>
      </c>
      <c r="D298" s="164">
        <f>D204+D181+D68+D45</f>
        <v>0</v>
      </c>
      <c r="E298" s="164">
        <f>E204+E181+E68+E45</f>
        <v>0</v>
      </c>
      <c r="F298" s="164">
        <f>F204+F181+F68+F45</f>
        <v>0</v>
      </c>
    </row>
    <row r="299" spans="2:6" ht="15.75" thickBot="1" x14ac:dyDescent="0.3">
      <c r="B299" s="181" t="s">
        <v>90</v>
      </c>
      <c r="C299" s="165"/>
      <c r="D299" s="182" t="e">
        <f>D298/C298-1</f>
        <v>#DIV/0!</v>
      </c>
      <c r="E299" s="182" t="e">
        <f t="shared" ref="E299:F299" si="37">E298/D298-1</f>
        <v>#DIV/0!</v>
      </c>
      <c r="F299" s="182" t="e">
        <f t="shared" si="37"/>
        <v>#DIV/0!</v>
      </c>
    </row>
    <row r="300" spans="2:6" ht="15.75" thickBot="1" x14ac:dyDescent="0.3">
      <c r="B300" s="65" t="s">
        <v>38</v>
      </c>
      <c r="C300" s="164">
        <f>C205+C182+C69+C46</f>
        <v>0</v>
      </c>
      <c r="D300" s="164">
        <f>D205+D182+D69+D46</f>
        <v>0</v>
      </c>
      <c r="E300" s="164">
        <f>E205+E182+E69+E46</f>
        <v>0</v>
      </c>
      <c r="F300" s="164">
        <f>F205+F182+F69+F46</f>
        <v>0</v>
      </c>
    </row>
    <row r="301" spans="2:6" ht="15.75" thickBot="1" x14ac:dyDescent="0.3">
      <c r="B301" s="181" t="s">
        <v>91</v>
      </c>
      <c r="C301" s="165"/>
      <c r="D301" s="182" t="e">
        <f>D300/C300-1</f>
        <v>#DIV/0!</v>
      </c>
      <c r="E301" s="182" t="e">
        <f t="shared" ref="E301:F301" si="38">E300/D300-1</f>
        <v>#DIV/0!</v>
      </c>
      <c r="F301" s="182" t="e">
        <f t="shared" si="38"/>
        <v>#DIV/0!</v>
      </c>
    </row>
    <row r="302" spans="2:6" ht="15.75" thickBot="1" x14ac:dyDescent="0.3">
      <c r="B302" s="65" t="s">
        <v>92</v>
      </c>
      <c r="C302" s="164">
        <f>C89+C110+C130+C148+C225+C243+C263+C281</f>
        <v>0</v>
      </c>
      <c r="D302" s="164">
        <f>D89+D110+D130+D148+D225+D243+D263+D281</f>
        <v>0</v>
      </c>
      <c r="E302" s="164">
        <f>E89+E110+E130+E148+E225+E243+E263+E281</f>
        <v>0</v>
      </c>
      <c r="F302" s="164">
        <f>F89+F110+F130+F148+F225+F243+F263+F281</f>
        <v>0</v>
      </c>
    </row>
    <row r="303" spans="2:6" ht="15.75" thickBot="1" x14ac:dyDescent="0.3">
      <c r="B303" s="181" t="s">
        <v>93</v>
      </c>
      <c r="C303" s="165"/>
      <c r="D303" s="182" t="e">
        <f>D302/C302-1</f>
        <v>#DIV/0!</v>
      </c>
      <c r="E303" s="182" t="e">
        <f t="shared" ref="E303:F303" si="39">E302/D302-1</f>
        <v>#DIV/0!</v>
      </c>
      <c r="F303" s="182" t="e">
        <f t="shared" si="39"/>
        <v>#DIV/0!</v>
      </c>
    </row>
    <row r="304" spans="2:6" ht="15.75" thickBot="1" x14ac:dyDescent="0.3">
      <c r="B304" s="65" t="s">
        <v>94</v>
      </c>
      <c r="C304" s="164">
        <f>C90+C111+C131+C149+C226+C244+C264+C282</f>
        <v>18000</v>
      </c>
      <c r="D304" s="164">
        <f>D90+D111+D131+D149+D226+D244+D264+D282</f>
        <v>47000</v>
      </c>
      <c r="E304" s="164">
        <f>E90+E111+E131+E149+E226+E244+E264+E282</f>
        <v>44800</v>
      </c>
      <c r="F304" s="164">
        <f>F90+F111+F131+F149+F226+F244+F264+F282</f>
        <v>0</v>
      </c>
    </row>
    <row r="305" spans="2:6" ht="15.75" thickBot="1" x14ac:dyDescent="0.3">
      <c r="B305" s="181" t="s">
        <v>95</v>
      </c>
      <c r="C305" s="165"/>
      <c r="D305" s="182">
        <f>D304/C304-1</f>
        <v>1.6111111111111112</v>
      </c>
      <c r="E305" s="182">
        <f t="shared" ref="E305:F305" si="40">E304/D304-1</f>
        <v>-4.6808510638297829E-2</v>
      </c>
      <c r="F305" s="182">
        <f t="shared" si="40"/>
        <v>-1</v>
      </c>
    </row>
    <row r="306" spans="2:6" ht="15.75" thickBot="1" x14ac:dyDescent="0.3">
      <c r="B306" s="166" t="s">
        <v>41</v>
      </c>
      <c r="C306" s="167">
        <f>IF(C286-C285=0,0,"Error")</f>
        <v>0</v>
      </c>
      <c r="D306" s="167">
        <f t="shared" ref="D306:F306" si="41">IF(D286-D285=0,0,"Error")</f>
        <v>0</v>
      </c>
      <c r="E306" s="167">
        <f t="shared" si="41"/>
        <v>0</v>
      </c>
      <c r="F306" s="167">
        <f t="shared" si="41"/>
        <v>0</v>
      </c>
    </row>
    <row r="307" spans="2:6" ht="15.75" thickBot="1" x14ac:dyDescent="0.3">
      <c r="B307" s="183" t="s">
        <v>96</v>
      </c>
      <c r="C307" s="164">
        <v>17</v>
      </c>
      <c r="D307" s="164">
        <v>19</v>
      </c>
      <c r="E307" s="164">
        <v>19</v>
      </c>
      <c r="F307" s="164">
        <v>19</v>
      </c>
    </row>
    <row r="308" spans="2:6" ht="30.75" thickBot="1" x14ac:dyDescent="0.3">
      <c r="B308" s="183" t="s">
        <v>97</v>
      </c>
      <c r="C308" s="164">
        <v>0</v>
      </c>
      <c r="D308" s="164">
        <v>0</v>
      </c>
      <c r="E308" s="164">
        <v>0</v>
      </c>
      <c r="F308" s="164">
        <v>0</v>
      </c>
    </row>
  </sheetData>
  <mergeCells count="108">
    <mergeCell ref="B279:B280"/>
    <mergeCell ref="C266:F266"/>
    <mergeCell ref="C267:F267"/>
    <mergeCell ref="C268:F268"/>
    <mergeCell ref="C269:F269"/>
    <mergeCell ref="B270:B271"/>
    <mergeCell ref="B278:F278"/>
    <mergeCell ref="C249:F249"/>
    <mergeCell ref="C250:F250"/>
    <mergeCell ref="C251:F251"/>
    <mergeCell ref="B252:B253"/>
    <mergeCell ref="B260:F260"/>
    <mergeCell ref="B261:B262"/>
    <mergeCell ref="B232:B233"/>
    <mergeCell ref="B240:F240"/>
    <mergeCell ref="B241:B242"/>
    <mergeCell ref="B246:F246"/>
    <mergeCell ref="B247:F247"/>
    <mergeCell ref="C248:F248"/>
    <mergeCell ref="B222:F222"/>
    <mergeCell ref="B223:B224"/>
    <mergeCell ref="C228:F228"/>
    <mergeCell ref="C229:F229"/>
    <mergeCell ref="C230:F230"/>
    <mergeCell ref="C231:F231"/>
    <mergeCell ref="B209:F209"/>
    <mergeCell ref="C210:F210"/>
    <mergeCell ref="C211:F211"/>
    <mergeCell ref="C212:F212"/>
    <mergeCell ref="C213:F213"/>
    <mergeCell ref="B214:B215"/>
    <mergeCell ref="C186:F186"/>
    <mergeCell ref="C187:F187"/>
    <mergeCell ref="B188:B189"/>
    <mergeCell ref="B196:F196"/>
    <mergeCell ref="B197:B198"/>
    <mergeCell ref="B208:F208"/>
    <mergeCell ref="C162:F162"/>
    <mergeCell ref="B163:B164"/>
    <mergeCell ref="B171:B172"/>
    <mergeCell ref="B173:F173"/>
    <mergeCell ref="B174:B175"/>
    <mergeCell ref="C185:F185"/>
    <mergeCell ref="B152:F152"/>
    <mergeCell ref="B156:F156"/>
    <mergeCell ref="B157:F157"/>
    <mergeCell ref="B158:B159"/>
    <mergeCell ref="C160:F160"/>
    <mergeCell ref="C161:F161"/>
    <mergeCell ref="C135:F135"/>
    <mergeCell ref="C136:F136"/>
    <mergeCell ref="B137:B138"/>
    <mergeCell ref="B145:F145"/>
    <mergeCell ref="B146:B147"/>
    <mergeCell ref="C151:F151"/>
    <mergeCell ref="C118:F118"/>
    <mergeCell ref="B119:B120"/>
    <mergeCell ref="B127:F127"/>
    <mergeCell ref="B128:B129"/>
    <mergeCell ref="C133:F133"/>
    <mergeCell ref="C134:F134"/>
    <mergeCell ref="B108:B109"/>
    <mergeCell ref="B113:F113"/>
    <mergeCell ref="B114:F114"/>
    <mergeCell ref="C115:F115"/>
    <mergeCell ref="C116:F116"/>
    <mergeCell ref="C117:F117"/>
    <mergeCell ref="C95:F95"/>
    <mergeCell ref="C96:F96"/>
    <mergeCell ref="C97:F97"/>
    <mergeCell ref="C98:F98"/>
    <mergeCell ref="B99:B100"/>
    <mergeCell ref="B107:F107"/>
    <mergeCell ref="C77:F77"/>
    <mergeCell ref="B78:B79"/>
    <mergeCell ref="B86:F86"/>
    <mergeCell ref="B87:B88"/>
    <mergeCell ref="B92:B94"/>
    <mergeCell ref="C92:F94"/>
    <mergeCell ref="B61:B62"/>
    <mergeCell ref="B72:F72"/>
    <mergeCell ref="B73:F73"/>
    <mergeCell ref="C74:F74"/>
    <mergeCell ref="C75:F75"/>
    <mergeCell ref="C76:F76"/>
    <mergeCell ref="B38:B39"/>
    <mergeCell ref="C49:F49"/>
    <mergeCell ref="C50:F50"/>
    <mergeCell ref="C51:F51"/>
    <mergeCell ref="B53:B54"/>
    <mergeCell ref="B60:F60"/>
    <mergeCell ref="B25:F25"/>
    <mergeCell ref="C26:F26"/>
    <mergeCell ref="C27:F27"/>
    <mergeCell ref="C28:F28"/>
    <mergeCell ref="B29:B30"/>
    <mergeCell ref="B37:F37"/>
    <mergeCell ref="B10:F12"/>
    <mergeCell ref="C13:F13"/>
    <mergeCell ref="B14:B15"/>
    <mergeCell ref="C19:F19"/>
    <mergeCell ref="B20:F20"/>
    <mergeCell ref="B24:F24"/>
    <mergeCell ref="B4:F4"/>
    <mergeCell ref="C6:F6"/>
    <mergeCell ref="C7:F7"/>
    <mergeCell ref="C8:F8"/>
    <mergeCell ref="B9:F9"/>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307"/>
  <sheetViews>
    <sheetView topLeftCell="A274" workbookViewId="0">
      <selection activeCell="H15" sqref="H15"/>
    </sheetView>
  </sheetViews>
  <sheetFormatPr defaultRowHeight="15" x14ac:dyDescent="0.25"/>
  <cols>
    <col min="1" max="1" width="16" style="152" customWidth="1"/>
    <col min="2" max="2" width="42.7109375" style="152" customWidth="1"/>
    <col min="3" max="6" width="21.42578125" style="152" customWidth="1"/>
    <col min="7" max="16384" width="9.140625" style="152"/>
  </cols>
  <sheetData>
    <row r="3" spans="2:6" x14ac:dyDescent="0.25">
      <c r="B3" s="762" t="s">
        <v>0</v>
      </c>
      <c r="C3" s="762"/>
      <c r="D3" s="762"/>
      <c r="E3" s="762"/>
      <c r="F3" s="762"/>
    </row>
    <row r="4" spans="2:6" ht="15.75" thickBot="1" x14ac:dyDescent="0.3"/>
    <row r="5" spans="2:6" ht="15.75" thickBot="1" x14ac:dyDescent="0.3">
      <c r="B5" s="153" t="s">
        <v>2</v>
      </c>
      <c r="C5" s="1657" t="s">
        <v>1408</v>
      </c>
      <c r="D5" s="1657"/>
      <c r="E5" s="1657"/>
      <c r="F5" s="1657"/>
    </row>
    <row r="6" spans="2:6" ht="15.75" thickBot="1" x14ac:dyDescent="0.3">
      <c r="B6" s="153" t="s">
        <v>3</v>
      </c>
      <c r="C6" s="1048" t="s">
        <v>1409</v>
      </c>
      <c r="D6" s="981"/>
      <c r="E6" s="981"/>
      <c r="F6" s="982"/>
    </row>
    <row r="7" spans="2:6" ht="15.75" thickBot="1" x14ac:dyDescent="0.3">
      <c r="B7" s="153" t="s">
        <v>5</v>
      </c>
      <c r="C7" s="983" t="s">
        <v>6</v>
      </c>
      <c r="D7" s="984"/>
      <c r="E7" s="984"/>
      <c r="F7" s="985"/>
    </row>
    <row r="8" spans="2:6" ht="15.75" thickBot="1" x14ac:dyDescent="0.3">
      <c r="B8" s="986" t="s">
        <v>7</v>
      </c>
      <c r="C8" s="987"/>
      <c r="D8" s="987"/>
      <c r="E8" s="987"/>
      <c r="F8" s="988"/>
    </row>
    <row r="9" spans="2:6" ht="15.75" thickBot="1" x14ac:dyDescent="0.3">
      <c r="B9" s="1003" t="s">
        <v>1410</v>
      </c>
      <c r="C9" s="1004"/>
      <c r="D9" s="1004"/>
      <c r="E9" s="1004"/>
      <c r="F9" s="1005"/>
    </row>
    <row r="10" spans="2:6" ht="15.75" thickBot="1" x14ac:dyDescent="0.3">
      <c r="B10" s="1003"/>
      <c r="C10" s="1004"/>
      <c r="D10" s="1004"/>
      <c r="E10" s="1004"/>
      <c r="F10" s="1005"/>
    </row>
    <row r="11" spans="2:6" ht="30" customHeight="1" thickBot="1" x14ac:dyDescent="0.3">
      <c r="B11" s="1003"/>
      <c r="C11" s="1004"/>
      <c r="D11" s="1004"/>
      <c r="E11" s="1004"/>
      <c r="F11" s="1005"/>
    </row>
    <row r="12" spans="2:6" ht="49.5" customHeight="1" thickBot="1" x14ac:dyDescent="0.3">
      <c r="B12" s="154" t="s">
        <v>8</v>
      </c>
      <c r="C12" s="1007" t="s">
        <v>1411</v>
      </c>
      <c r="D12" s="1006"/>
      <c r="E12" s="1006"/>
      <c r="F12" s="1008"/>
    </row>
    <row r="13" spans="2:6" x14ac:dyDescent="0.25">
      <c r="B13" s="998" t="s">
        <v>102</v>
      </c>
      <c r="C13" s="640">
        <v>2018</v>
      </c>
      <c r="D13" s="640">
        <v>2019</v>
      </c>
      <c r="E13" s="640">
        <v>2020</v>
      </c>
      <c r="F13" s="640">
        <v>2021</v>
      </c>
    </row>
    <row r="14" spans="2:6" ht="15.75" thickBot="1" x14ac:dyDescent="0.3">
      <c r="B14" s="999"/>
      <c r="C14" s="641" t="s">
        <v>10</v>
      </c>
      <c r="D14" s="641" t="s">
        <v>11</v>
      </c>
      <c r="E14" s="641" t="s">
        <v>11</v>
      </c>
      <c r="F14" s="641" t="s">
        <v>11</v>
      </c>
    </row>
    <row r="15" spans="2:6" ht="35.25" customHeight="1" thickBot="1" x14ac:dyDescent="0.3">
      <c r="B15" s="742" t="s">
        <v>1412</v>
      </c>
      <c r="C15" s="203">
        <v>4</v>
      </c>
      <c r="D15" s="203">
        <v>4</v>
      </c>
      <c r="E15" s="203">
        <v>4</v>
      </c>
      <c r="F15" s="203">
        <v>4</v>
      </c>
    </row>
    <row r="16" spans="2:6" ht="50.25" customHeight="1" thickBot="1" x14ac:dyDescent="0.3">
      <c r="B16" s="743" t="s">
        <v>1413</v>
      </c>
      <c r="C16" s="203">
        <v>2015</v>
      </c>
      <c r="D16" s="203">
        <v>2015</v>
      </c>
      <c r="E16" s="203">
        <v>2015</v>
      </c>
      <c r="F16" s="203">
        <v>2015</v>
      </c>
    </row>
    <row r="17" spans="2:6" ht="34.5" customHeight="1" thickBot="1" x14ac:dyDescent="0.3">
      <c r="B17" s="742" t="s">
        <v>1414</v>
      </c>
      <c r="C17" s="203">
        <v>80</v>
      </c>
      <c r="D17" s="203">
        <v>90</v>
      </c>
      <c r="E17" s="203">
        <v>100</v>
      </c>
      <c r="F17" s="203">
        <v>109</v>
      </c>
    </row>
    <row r="18" spans="2:6" ht="15.75" thickBot="1" x14ac:dyDescent="0.3">
      <c r="B18" s="158" t="s">
        <v>12</v>
      </c>
      <c r="C18" s="1654" t="s">
        <v>1415</v>
      </c>
      <c r="D18" s="1655"/>
      <c r="E18" s="1655"/>
      <c r="F18" s="1656"/>
    </row>
    <row r="19" spans="2:6" ht="15.75" thickBot="1" x14ac:dyDescent="0.3">
      <c r="B19" s="983" t="s">
        <v>103</v>
      </c>
      <c r="C19" s="984"/>
      <c r="D19" s="984"/>
      <c r="E19" s="984"/>
      <c r="F19" s="985"/>
    </row>
    <row r="20" spans="2:6" ht="30.75" thickBot="1" x14ac:dyDescent="0.3">
      <c r="B20" s="726" t="s">
        <v>1416</v>
      </c>
      <c r="C20" s="157" t="s">
        <v>116</v>
      </c>
      <c r="D20" s="157" t="s">
        <v>117</v>
      </c>
      <c r="E20" s="157" t="s">
        <v>117</v>
      </c>
      <c r="F20" s="157" t="s">
        <v>117</v>
      </c>
    </row>
    <row r="21" spans="2:6" ht="15.75" thickBot="1" x14ac:dyDescent="0.3">
      <c r="B21" s="62" t="s">
        <v>212</v>
      </c>
      <c r="C21" s="157" t="s">
        <v>116</v>
      </c>
      <c r="D21" s="157" t="s">
        <v>117</v>
      </c>
      <c r="E21" s="157" t="s">
        <v>117</v>
      </c>
      <c r="F21" s="157" t="s">
        <v>117</v>
      </c>
    </row>
    <row r="22" spans="2:6" ht="15.75" thickBot="1" x14ac:dyDescent="0.3">
      <c r="B22" s="62" t="s">
        <v>115</v>
      </c>
      <c r="C22" s="157" t="s">
        <v>116</v>
      </c>
      <c r="D22" s="157" t="s">
        <v>117</v>
      </c>
      <c r="E22" s="157" t="s">
        <v>117</v>
      </c>
      <c r="F22" s="157" t="s">
        <v>117</v>
      </c>
    </row>
    <row r="23" spans="2:6" ht="15.75" thickBot="1" x14ac:dyDescent="0.3">
      <c r="B23" s="989" t="s">
        <v>1417</v>
      </c>
      <c r="C23" s="990"/>
      <c r="D23" s="990"/>
      <c r="E23" s="990"/>
      <c r="F23" s="991"/>
    </row>
    <row r="24" spans="2:6" ht="15.75" thickBot="1" x14ac:dyDescent="0.3">
      <c r="B24" s="989" t="s">
        <v>104</v>
      </c>
      <c r="C24" s="990"/>
      <c r="D24" s="990"/>
      <c r="E24" s="990"/>
      <c r="F24" s="991"/>
    </row>
    <row r="25" spans="2:6" ht="15.75" thickBot="1" x14ac:dyDescent="0.3">
      <c r="B25" s="160" t="s">
        <v>105</v>
      </c>
      <c r="C25" s="992" t="s">
        <v>1416</v>
      </c>
      <c r="D25" s="993"/>
      <c r="E25" s="993"/>
      <c r="F25" s="994"/>
    </row>
    <row r="26" spans="2:6" ht="15.75" thickBot="1" x14ac:dyDescent="0.3">
      <c r="B26" s="62" t="s">
        <v>17</v>
      </c>
      <c r="C26" s="983" t="s">
        <v>1418</v>
      </c>
      <c r="D26" s="984"/>
      <c r="E26" s="984"/>
      <c r="F26" s="985"/>
    </row>
    <row r="27" spans="2:6" ht="15.75" thickBot="1" x14ac:dyDescent="0.3">
      <c r="B27" s="62" t="s">
        <v>18</v>
      </c>
      <c r="C27" s="995" t="s">
        <v>1419</v>
      </c>
      <c r="D27" s="996"/>
      <c r="E27" s="996"/>
      <c r="F27" s="997"/>
    </row>
    <row r="28" spans="2:6" x14ac:dyDescent="0.25">
      <c r="B28" s="998"/>
      <c r="C28" s="63">
        <v>2018</v>
      </c>
      <c r="D28" s="63">
        <v>2019</v>
      </c>
      <c r="E28" s="63">
        <v>2020</v>
      </c>
      <c r="F28" s="63">
        <v>2021</v>
      </c>
    </row>
    <row r="29" spans="2:6" ht="15.75" thickBot="1" x14ac:dyDescent="0.3">
      <c r="B29" s="999"/>
      <c r="C29" s="64" t="s">
        <v>10</v>
      </c>
      <c r="D29" s="64" t="s">
        <v>11</v>
      </c>
      <c r="E29" s="64" t="s">
        <v>11</v>
      </c>
      <c r="F29" s="64" t="s">
        <v>11</v>
      </c>
    </row>
    <row r="30" spans="2:6" ht="15.75" thickBot="1" x14ac:dyDescent="0.3">
      <c r="B30" s="62" t="s">
        <v>19</v>
      </c>
      <c r="C30" s="161">
        <v>779</v>
      </c>
      <c r="D30" s="161">
        <v>779</v>
      </c>
      <c r="E30" s="161">
        <v>779</v>
      </c>
      <c r="F30" s="161">
        <v>779</v>
      </c>
    </row>
    <row r="31" spans="2:6" ht="15.75" thickBot="1" x14ac:dyDescent="0.3">
      <c r="B31" s="62" t="s">
        <v>20</v>
      </c>
      <c r="C31" s="161">
        <v>13214</v>
      </c>
      <c r="D31" s="161">
        <v>13366</v>
      </c>
      <c r="E31" s="161">
        <v>13523</v>
      </c>
      <c r="F31" s="161">
        <v>13684</v>
      </c>
    </row>
    <row r="32" spans="2:6" ht="15.75" thickBot="1" x14ac:dyDescent="0.3">
      <c r="B32" s="62" t="s">
        <v>21</v>
      </c>
      <c r="C32" s="161">
        <f>C31/C30</f>
        <v>16.962772785622594</v>
      </c>
      <c r="D32" s="161">
        <f t="shared" ref="D32:F32" si="0">D31/D30</f>
        <v>17.157894736842106</v>
      </c>
      <c r="E32" s="161">
        <f t="shared" si="0"/>
        <v>17.359435173299101</v>
      </c>
      <c r="F32" s="161">
        <f t="shared" si="0"/>
        <v>17.566110397946083</v>
      </c>
    </row>
    <row r="33" spans="2:6" ht="15.75" thickBot="1" x14ac:dyDescent="0.3">
      <c r="B33" s="62" t="s">
        <v>22</v>
      </c>
      <c r="C33" s="636" t="s">
        <v>23</v>
      </c>
      <c r="D33" s="162">
        <f>D30/C30-1</f>
        <v>0</v>
      </c>
      <c r="E33" s="162">
        <f t="shared" ref="E33:F35" si="1">E30/D30-1</f>
        <v>0</v>
      </c>
      <c r="F33" s="162">
        <f t="shared" si="1"/>
        <v>0</v>
      </c>
    </row>
    <row r="34" spans="2:6" ht="15.75" thickBot="1" x14ac:dyDescent="0.3">
      <c r="B34" s="62" t="s">
        <v>24</v>
      </c>
      <c r="C34" s="636" t="s">
        <v>23</v>
      </c>
      <c r="D34" s="162">
        <f>D31/C31-1</f>
        <v>1.1502951415165663E-2</v>
      </c>
      <c r="E34" s="162">
        <f t="shared" si="1"/>
        <v>1.1746221756696151E-2</v>
      </c>
      <c r="F34" s="162">
        <f t="shared" si="1"/>
        <v>1.190564223914814E-2</v>
      </c>
    </row>
    <row r="35" spans="2:6" ht="15.75" thickBot="1" x14ac:dyDescent="0.3">
      <c r="B35" s="62" t="s">
        <v>25</v>
      </c>
      <c r="C35" s="636" t="s">
        <v>23</v>
      </c>
      <c r="D35" s="162">
        <f>D32/C32-1</f>
        <v>1.1502951415165663E-2</v>
      </c>
      <c r="E35" s="162">
        <f t="shared" si="1"/>
        <v>1.1746221756695929E-2</v>
      </c>
      <c r="F35" s="162">
        <f t="shared" si="1"/>
        <v>1.190564223914814E-2</v>
      </c>
    </row>
    <row r="36" spans="2:6" ht="15.75" thickBot="1" x14ac:dyDescent="0.3">
      <c r="B36" s="1000" t="s">
        <v>784</v>
      </c>
      <c r="C36" s="1001"/>
      <c r="D36" s="1001"/>
      <c r="E36" s="1001"/>
      <c r="F36" s="1002"/>
    </row>
    <row r="37" spans="2:6" x14ac:dyDescent="0.25">
      <c r="B37" s="998"/>
      <c r="C37" s="63">
        <v>2018</v>
      </c>
      <c r="D37" s="63">
        <v>2019</v>
      </c>
      <c r="E37" s="63">
        <v>2020</v>
      </c>
      <c r="F37" s="63">
        <v>2021</v>
      </c>
    </row>
    <row r="38" spans="2:6" ht="15.75" thickBot="1" x14ac:dyDescent="0.3">
      <c r="B38" s="999"/>
      <c r="C38" s="64" t="s">
        <v>10</v>
      </c>
      <c r="D38" s="64" t="s">
        <v>11</v>
      </c>
      <c r="E38" s="64" t="s">
        <v>11</v>
      </c>
      <c r="F38" s="64" t="s">
        <v>11</v>
      </c>
    </row>
    <row r="39" spans="2:6" ht="15.75" thickBot="1" x14ac:dyDescent="0.3">
      <c r="B39" s="65" t="s">
        <v>26</v>
      </c>
      <c r="C39" s="164">
        <v>7020</v>
      </c>
      <c r="D39" s="164">
        <v>7020</v>
      </c>
      <c r="E39" s="164">
        <v>7020</v>
      </c>
      <c r="F39" s="164">
        <v>7020</v>
      </c>
    </row>
    <row r="40" spans="2:6" ht="15.75" thickBot="1" x14ac:dyDescent="0.3">
      <c r="B40" s="65" t="s">
        <v>28</v>
      </c>
      <c r="C40" s="164">
        <v>1124</v>
      </c>
      <c r="D40" s="164">
        <v>1124</v>
      </c>
      <c r="E40" s="164">
        <v>1124</v>
      </c>
      <c r="F40" s="164">
        <v>1124</v>
      </c>
    </row>
    <row r="41" spans="2:6" ht="15.75" thickBot="1" x14ac:dyDescent="0.3">
      <c r="B41" s="65" t="s">
        <v>30</v>
      </c>
      <c r="C41" s="165">
        <v>5070</v>
      </c>
      <c r="D41" s="164">
        <v>5222</v>
      </c>
      <c r="E41" s="164">
        <v>5379</v>
      </c>
      <c r="F41" s="164">
        <v>5540</v>
      </c>
    </row>
    <row r="42" spans="2:6" ht="15.75" thickBot="1" x14ac:dyDescent="0.3">
      <c r="B42" s="65" t="s">
        <v>32</v>
      </c>
      <c r="C42" s="165"/>
      <c r="D42" s="164"/>
      <c r="E42" s="164"/>
      <c r="F42" s="164"/>
    </row>
    <row r="43" spans="2:6" ht="15.75" thickBot="1" x14ac:dyDescent="0.3">
      <c r="B43" s="65" t="s">
        <v>34</v>
      </c>
      <c r="C43" s="165"/>
      <c r="D43" s="164"/>
      <c r="E43" s="164"/>
      <c r="F43" s="164"/>
    </row>
    <row r="44" spans="2:6" ht="15.75" thickBot="1" x14ac:dyDescent="0.3">
      <c r="B44" s="65" t="s">
        <v>36</v>
      </c>
      <c r="C44" s="165"/>
      <c r="D44" s="164"/>
      <c r="E44" s="164"/>
      <c r="F44" s="164"/>
    </row>
    <row r="45" spans="2:6" ht="15.75" thickBot="1" x14ac:dyDescent="0.3">
      <c r="B45" s="65" t="s">
        <v>38</v>
      </c>
      <c r="C45" s="165"/>
      <c r="D45" s="164"/>
      <c r="E45" s="164"/>
      <c r="F45" s="164"/>
    </row>
    <row r="46" spans="2:6" ht="15.75" thickBot="1" x14ac:dyDescent="0.3">
      <c r="B46" s="66" t="s">
        <v>40</v>
      </c>
      <c r="C46" s="165">
        <f>C45+C44+C43+C42+C41+C40+C39</f>
        <v>13214</v>
      </c>
      <c r="D46" s="165">
        <f>D45+D44+D43+D42+D41+D40+D39</f>
        <v>13366</v>
      </c>
      <c r="E46" s="165">
        <f>E45+E44+E43+E42+E41+E40+E39</f>
        <v>13523</v>
      </c>
      <c r="F46" s="165">
        <f>F45+F44+F43+F42+F41+F40+F39</f>
        <v>13684</v>
      </c>
    </row>
    <row r="47" spans="2:6" ht="15.75" thickBot="1" x14ac:dyDescent="0.3">
      <c r="B47" s="166" t="s">
        <v>41</v>
      </c>
      <c r="C47" s="167">
        <f>IF(C46-C31=0,0,"Error")</f>
        <v>0</v>
      </c>
      <c r="D47" s="167">
        <f>IF(D46-D31=0,0,"Error")</f>
        <v>0</v>
      </c>
      <c r="E47" s="167">
        <f>IF(E46-E31=0,0,"Error")</f>
        <v>0</v>
      </c>
      <c r="F47" s="167">
        <f>IF(F46-F31=0,0,"Error")</f>
        <v>0</v>
      </c>
    </row>
    <row r="48" spans="2:6" ht="15.75" thickBot="1" x14ac:dyDescent="0.3">
      <c r="B48" s="195" t="s">
        <v>1312</v>
      </c>
      <c r="C48" s="992" t="s">
        <v>1420</v>
      </c>
      <c r="D48" s="993"/>
      <c r="E48" s="993"/>
      <c r="F48" s="994"/>
    </row>
    <row r="49" spans="2:6" ht="15.75" thickBot="1" x14ac:dyDescent="0.3">
      <c r="B49" s="62" t="s">
        <v>17</v>
      </c>
      <c r="C49" s="983" t="s">
        <v>1421</v>
      </c>
      <c r="D49" s="984"/>
      <c r="E49" s="984"/>
      <c r="F49" s="985"/>
    </row>
    <row r="50" spans="2:6" ht="15.75" thickBot="1" x14ac:dyDescent="0.3">
      <c r="B50" s="62" t="s">
        <v>18</v>
      </c>
      <c r="C50" s="1235" t="s">
        <v>1422</v>
      </c>
      <c r="D50" s="1236"/>
      <c r="E50" s="1236"/>
      <c r="F50" s="1237"/>
    </row>
    <row r="51" spans="2:6" ht="15.75" thickBot="1" x14ac:dyDescent="0.3">
      <c r="B51" s="62" t="s">
        <v>19</v>
      </c>
      <c r="C51" s="194">
        <v>5</v>
      </c>
      <c r="D51" s="194">
        <v>5</v>
      </c>
      <c r="E51" s="194">
        <v>5</v>
      </c>
      <c r="F51" s="194">
        <v>5</v>
      </c>
    </row>
    <row r="52" spans="2:6" x14ac:dyDescent="0.25">
      <c r="B52" s="998"/>
      <c r="C52" s="231">
        <v>2018</v>
      </c>
      <c r="D52" s="231">
        <v>2019</v>
      </c>
      <c r="E52" s="231">
        <v>2020</v>
      </c>
      <c r="F52" s="231">
        <v>2021</v>
      </c>
    </row>
    <row r="53" spans="2:6" ht="15.75" thickBot="1" x14ac:dyDescent="0.3">
      <c r="B53" s="999"/>
      <c r="C53" s="232" t="s">
        <v>10</v>
      </c>
      <c r="D53" s="232" t="s">
        <v>11</v>
      </c>
      <c r="E53" s="232" t="s">
        <v>11</v>
      </c>
      <c r="F53" s="232" t="s">
        <v>11</v>
      </c>
    </row>
    <row r="54" spans="2:6" ht="15.75" thickBot="1" x14ac:dyDescent="0.3">
      <c r="B54" s="62" t="s">
        <v>20</v>
      </c>
      <c r="C54" s="194">
        <v>0</v>
      </c>
      <c r="D54" s="194">
        <v>0</v>
      </c>
      <c r="E54" s="194">
        <v>0</v>
      </c>
      <c r="F54" s="194">
        <v>0</v>
      </c>
    </row>
    <row r="55" spans="2:6" ht="15.75" thickBot="1" x14ac:dyDescent="0.3">
      <c r="B55" s="62" t="s">
        <v>21</v>
      </c>
      <c r="C55" s="194">
        <f>C54/C51</f>
        <v>0</v>
      </c>
      <c r="D55" s="194">
        <f>D54/D51</f>
        <v>0</v>
      </c>
      <c r="E55" s="194">
        <f>E54/E51</f>
        <v>0</v>
      </c>
      <c r="F55" s="194">
        <f>F54/F51</f>
        <v>0</v>
      </c>
    </row>
    <row r="56" spans="2:6" ht="15.75" thickBot="1" x14ac:dyDescent="0.3">
      <c r="B56" s="62" t="s">
        <v>22</v>
      </c>
      <c r="C56" s="642"/>
      <c r="D56" s="234">
        <f>D51/C51-1</f>
        <v>0</v>
      </c>
      <c r="E56" s="234">
        <f>E51/D51-1</f>
        <v>0</v>
      </c>
      <c r="F56" s="234">
        <f>F51/E51-1</f>
        <v>0</v>
      </c>
    </row>
    <row r="57" spans="2:6" ht="15.75" thickBot="1" x14ac:dyDescent="0.3">
      <c r="B57" s="62" t="s">
        <v>24</v>
      </c>
      <c r="C57" s="636"/>
      <c r="D57" s="162" t="e">
        <f>D54/C54-1</f>
        <v>#DIV/0!</v>
      </c>
      <c r="E57" s="162" t="e">
        <f t="shared" ref="E57:F58" si="2">E54/D54-1</f>
        <v>#DIV/0!</v>
      </c>
      <c r="F57" s="162" t="e">
        <f t="shared" si="2"/>
        <v>#DIV/0!</v>
      </c>
    </row>
    <row r="58" spans="2:6" ht="15.75" thickBot="1" x14ac:dyDescent="0.3">
      <c r="B58" s="62" t="s">
        <v>25</v>
      </c>
      <c r="C58" s="636"/>
      <c r="D58" s="162" t="e">
        <f>D55/C55-1</f>
        <v>#DIV/0!</v>
      </c>
      <c r="E58" s="162" t="e">
        <f t="shared" si="2"/>
        <v>#DIV/0!</v>
      </c>
      <c r="F58" s="162" t="e">
        <f t="shared" si="2"/>
        <v>#DIV/0!</v>
      </c>
    </row>
    <row r="59" spans="2:6" ht="15.75" thickBot="1" x14ac:dyDescent="0.3">
      <c r="B59" s="1000" t="s">
        <v>792</v>
      </c>
      <c r="C59" s="1001"/>
      <c r="D59" s="1001"/>
      <c r="E59" s="1001"/>
      <c r="F59" s="1002"/>
    </row>
    <row r="60" spans="2:6" x14ac:dyDescent="0.25">
      <c r="B60" s="998"/>
      <c r="C60" s="63">
        <v>2018</v>
      </c>
      <c r="D60" s="63">
        <v>2019</v>
      </c>
      <c r="E60" s="63">
        <v>2020</v>
      </c>
      <c r="F60" s="63">
        <v>2021</v>
      </c>
    </row>
    <row r="61" spans="2:6" ht="15.75" thickBot="1" x14ac:dyDescent="0.3">
      <c r="B61" s="999"/>
      <c r="C61" s="64" t="s">
        <v>10</v>
      </c>
      <c r="D61" s="64" t="s">
        <v>11</v>
      </c>
      <c r="E61" s="64" t="s">
        <v>11</v>
      </c>
      <c r="F61" s="64" t="s">
        <v>11</v>
      </c>
    </row>
    <row r="62" spans="2:6" ht="15.75" thickBot="1" x14ac:dyDescent="0.3">
      <c r="B62" s="65" t="s">
        <v>26</v>
      </c>
      <c r="C62" s="164"/>
      <c r="D62" s="164"/>
      <c r="E62" s="164"/>
      <c r="F62" s="164"/>
    </row>
    <row r="63" spans="2:6" ht="15.75" thickBot="1" x14ac:dyDescent="0.3">
      <c r="B63" s="65" t="s">
        <v>28</v>
      </c>
      <c r="C63" s="164"/>
      <c r="D63" s="164"/>
      <c r="E63" s="164"/>
      <c r="F63" s="164"/>
    </row>
    <row r="64" spans="2:6" ht="15.75" thickBot="1" x14ac:dyDescent="0.3">
      <c r="B64" s="65" t="s">
        <v>30</v>
      </c>
      <c r="C64" s="165">
        <v>0</v>
      </c>
      <c r="D64" s="164">
        <v>0</v>
      </c>
      <c r="E64" s="164">
        <v>0</v>
      </c>
      <c r="F64" s="164">
        <v>0</v>
      </c>
    </row>
    <row r="65" spans="2:6" ht="15.75" thickBot="1" x14ac:dyDescent="0.3">
      <c r="B65" s="65" t="s">
        <v>32</v>
      </c>
      <c r="C65" s="165"/>
      <c r="D65" s="164"/>
      <c r="E65" s="164"/>
      <c r="F65" s="164"/>
    </row>
    <row r="66" spans="2:6" ht="15.75" thickBot="1" x14ac:dyDescent="0.3">
      <c r="B66" s="65" t="s">
        <v>34</v>
      </c>
      <c r="C66" s="165"/>
      <c r="D66" s="164"/>
      <c r="E66" s="164"/>
      <c r="F66" s="164"/>
    </row>
    <row r="67" spans="2:6" ht="15.75" thickBot="1" x14ac:dyDescent="0.3">
      <c r="B67" s="65" t="s">
        <v>36</v>
      </c>
      <c r="C67" s="165"/>
      <c r="D67" s="164"/>
      <c r="E67" s="164"/>
      <c r="F67" s="164"/>
    </row>
    <row r="68" spans="2:6" ht="15.75" thickBot="1" x14ac:dyDescent="0.3">
      <c r="B68" s="65" t="s">
        <v>38</v>
      </c>
      <c r="C68" s="165"/>
      <c r="D68" s="164"/>
      <c r="E68" s="164"/>
      <c r="F68" s="164"/>
    </row>
    <row r="69" spans="2:6" ht="15.75" thickBot="1" x14ac:dyDescent="0.3">
      <c r="B69" s="196" t="s">
        <v>74</v>
      </c>
      <c r="C69" s="165">
        <f>C68+C67+C66+C65+C64+C63+C62</f>
        <v>0</v>
      </c>
      <c r="D69" s="165">
        <f>D68+D67+D66+D65+D64+D63+D62</f>
        <v>0</v>
      </c>
      <c r="E69" s="165">
        <f>E68+E67+E66+E65+E64+E63+E62</f>
        <v>0</v>
      </c>
      <c r="F69" s="165">
        <f>F68+F67+F66+F65+F64+F63+F62</f>
        <v>0</v>
      </c>
    </row>
    <row r="70" spans="2:6" ht="15.75" thickBot="1" x14ac:dyDescent="0.3">
      <c r="B70" s="166" t="s">
        <v>41</v>
      </c>
      <c r="C70" s="167">
        <f>IF(C69-C54=0,0,"Error")</f>
        <v>0</v>
      </c>
      <c r="D70" s="167">
        <f>IF(D69-D54=0,0,"Error")</f>
        <v>0</v>
      </c>
      <c r="E70" s="167">
        <f>IF(E69-E54=0,0,"Error")</f>
        <v>0</v>
      </c>
      <c r="F70" s="167">
        <f>IF(F69-F54=0,0,"Error")</f>
        <v>0</v>
      </c>
    </row>
    <row r="71" spans="2:6" ht="15.75" thickBot="1" x14ac:dyDescent="0.3">
      <c r="B71" s="989" t="s">
        <v>63</v>
      </c>
      <c r="C71" s="990"/>
      <c r="D71" s="990"/>
      <c r="E71" s="990"/>
      <c r="F71" s="991"/>
    </row>
    <row r="72" spans="2:6" ht="15.75" thickBot="1" x14ac:dyDescent="0.3">
      <c r="B72" s="989" t="s">
        <v>56</v>
      </c>
      <c r="C72" s="990"/>
      <c r="D72" s="990"/>
      <c r="E72" s="990"/>
      <c r="F72" s="991"/>
    </row>
    <row r="73" spans="2:6" ht="15.75" thickBot="1" x14ac:dyDescent="0.3">
      <c r="B73" s="67" t="s">
        <v>79</v>
      </c>
      <c r="C73" s="1009" t="s">
        <v>130</v>
      </c>
      <c r="D73" s="1010"/>
      <c r="E73" s="1010"/>
      <c r="F73" s="1011"/>
    </row>
    <row r="74" spans="2:6" ht="15.75" thickBot="1" x14ac:dyDescent="0.3">
      <c r="B74" s="160" t="s">
        <v>16</v>
      </c>
      <c r="C74" s="992" t="s">
        <v>1423</v>
      </c>
      <c r="D74" s="993"/>
      <c r="E74" s="993"/>
      <c r="F74" s="994"/>
    </row>
    <row r="75" spans="2:6" ht="15.75" thickBot="1" x14ac:dyDescent="0.3">
      <c r="B75" s="62" t="s">
        <v>17</v>
      </c>
      <c r="C75" s="983" t="s">
        <v>1423</v>
      </c>
      <c r="D75" s="984"/>
      <c r="E75" s="984"/>
      <c r="F75" s="985"/>
    </row>
    <row r="76" spans="2:6" ht="15.75" thickBot="1" x14ac:dyDescent="0.3">
      <c r="B76" s="62" t="s">
        <v>18</v>
      </c>
      <c r="C76" s="995" t="s">
        <v>1422</v>
      </c>
      <c r="D76" s="996"/>
      <c r="E76" s="996"/>
      <c r="F76" s="997"/>
    </row>
    <row r="77" spans="2:6" x14ac:dyDescent="0.25">
      <c r="B77" s="998"/>
      <c r="C77" s="63">
        <v>2018</v>
      </c>
      <c r="D77" s="63">
        <v>2019</v>
      </c>
      <c r="E77" s="63">
        <v>2020</v>
      </c>
      <c r="F77" s="63">
        <v>2021</v>
      </c>
    </row>
    <row r="78" spans="2:6" ht="15.75" thickBot="1" x14ac:dyDescent="0.3">
      <c r="B78" s="999"/>
      <c r="C78" s="64" t="s">
        <v>10</v>
      </c>
      <c r="D78" s="64" t="s">
        <v>11</v>
      </c>
      <c r="E78" s="64" t="s">
        <v>11</v>
      </c>
      <c r="F78" s="64" t="s">
        <v>11</v>
      </c>
    </row>
    <row r="79" spans="2:6" ht="15.75" thickBot="1" x14ac:dyDescent="0.3">
      <c r="B79" s="62" t="s">
        <v>19</v>
      </c>
      <c r="C79" s="161">
        <v>30</v>
      </c>
      <c r="D79" s="161"/>
      <c r="E79" s="161"/>
      <c r="F79" s="161"/>
    </row>
    <row r="80" spans="2:6" ht="15.75" thickBot="1" x14ac:dyDescent="0.3">
      <c r="B80" s="62" t="s">
        <v>20</v>
      </c>
      <c r="C80" s="161">
        <v>4000</v>
      </c>
      <c r="D80" s="161">
        <v>0</v>
      </c>
      <c r="E80" s="161">
        <v>0</v>
      </c>
      <c r="F80" s="161">
        <v>0</v>
      </c>
    </row>
    <row r="81" spans="2:6" ht="15.75" thickBot="1" x14ac:dyDescent="0.3">
      <c r="B81" s="62" t="s">
        <v>21</v>
      </c>
      <c r="C81" s="161">
        <f>C80/C79</f>
        <v>133.33333333333334</v>
      </c>
      <c r="D81" s="161" t="e">
        <f t="shared" ref="D81:F81" si="3">D80/D79</f>
        <v>#DIV/0!</v>
      </c>
      <c r="E81" s="161" t="e">
        <f t="shared" si="3"/>
        <v>#DIV/0!</v>
      </c>
      <c r="F81" s="161" t="e">
        <f t="shared" si="3"/>
        <v>#DIV/0!</v>
      </c>
    </row>
    <row r="82" spans="2:6" ht="15.75" thickBot="1" x14ac:dyDescent="0.3">
      <c r="B82" s="62" t="s">
        <v>22</v>
      </c>
      <c r="C82" s="636" t="s">
        <v>23</v>
      </c>
      <c r="D82" s="162">
        <f>D79/C79-1</f>
        <v>-1</v>
      </c>
      <c r="E82" s="162" t="e">
        <f t="shared" ref="E82:F84" si="4">E79/D79-1</f>
        <v>#DIV/0!</v>
      </c>
      <c r="F82" s="162" t="e">
        <f t="shared" si="4"/>
        <v>#DIV/0!</v>
      </c>
    </row>
    <row r="83" spans="2:6" ht="15.75" thickBot="1" x14ac:dyDescent="0.3">
      <c r="B83" s="62" t="s">
        <v>24</v>
      </c>
      <c r="C83" s="636" t="s">
        <v>23</v>
      </c>
      <c r="D83" s="162">
        <f>D80/C80-1</f>
        <v>-1</v>
      </c>
      <c r="E83" s="162" t="e">
        <f t="shared" si="4"/>
        <v>#DIV/0!</v>
      </c>
      <c r="F83" s="162" t="e">
        <f t="shared" si="4"/>
        <v>#DIV/0!</v>
      </c>
    </row>
    <row r="84" spans="2:6" ht="15.75" thickBot="1" x14ac:dyDescent="0.3">
      <c r="B84" s="62" t="s">
        <v>25</v>
      </c>
      <c r="C84" s="636" t="s">
        <v>23</v>
      </c>
      <c r="D84" s="162" t="e">
        <f>D81/C81-1</f>
        <v>#DIV/0!</v>
      </c>
      <c r="E84" s="162" t="e">
        <f t="shared" si="4"/>
        <v>#DIV/0!</v>
      </c>
      <c r="F84" s="162" t="e">
        <f t="shared" si="4"/>
        <v>#DIV/0!</v>
      </c>
    </row>
    <row r="85" spans="2:6" ht="15.75" thickBot="1" x14ac:dyDescent="0.3">
      <c r="B85" s="1000" t="s">
        <v>784</v>
      </c>
      <c r="C85" s="1001"/>
      <c r="D85" s="1001"/>
      <c r="E85" s="1001"/>
      <c r="F85" s="1002"/>
    </row>
    <row r="86" spans="2:6" x14ac:dyDescent="0.25">
      <c r="B86" s="998"/>
      <c r="C86" s="63">
        <v>2018</v>
      </c>
      <c r="D86" s="63">
        <v>2019</v>
      </c>
      <c r="E86" s="63">
        <v>2020</v>
      </c>
      <c r="F86" s="63">
        <v>2021</v>
      </c>
    </row>
    <row r="87" spans="2:6" ht="15.75" thickBot="1" x14ac:dyDescent="0.3">
      <c r="B87" s="999"/>
      <c r="C87" s="64" t="s">
        <v>10</v>
      </c>
      <c r="D87" s="64" t="s">
        <v>11</v>
      </c>
      <c r="E87" s="64" t="s">
        <v>11</v>
      </c>
      <c r="F87" s="64" t="s">
        <v>11</v>
      </c>
    </row>
    <row r="88" spans="2:6" ht="15.75" thickBot="1" x14ac:dyDescent="0.3">
      <c r="B88" s="65" t="s">
        <v>58</v>
      </c>
      <c r="C88" s="164"/>
      <c r="D88" s="164"/>
      <c r="E88" s="164"/>
      <c r="F88" s="164"/>
    </row>
    <row r="89" spans="2:6" ht="15.75" thickBot="1" x14ac:dyDescent="0.3">
      <c r="B89" s="65" t="s">
        <v>59</v>
      </c>
      <c r="C89" s="165">
        <v>4000</v>
      </c>
      <c r="D89" s="164">
        <v>0</v>
      </c>
      <c r="E89" s="164">
        <v>0</v>
      </c>
      <c r="F89" s="164">
        <v>0</v>
      </c>
    </row>
    <row r="90" spans="2:6" ht="15.75" thickBot="1" x14ac:dyDescent="0.3">
      <c r="B90" s="66" t="s">
        <v>40</v>
      </c>
      <c r="C90" s="165">
        <f>C89+C88</f>
        <v>4000</v>
      </c>
      <c r="D90" s="165">
        <f t="shared" ref="D90:F90" si="5">D89+D88</f>
        <v>0</v>
      </c>
      <c r="E90" s="165">
        <f t="shared" si="5"/>
        <v>0</v>
      </c>
      <c r="F90" s="165">
        <f t="shared" si="5"/>
        <v>0</v>
      </c>
    </row>
    <row r="91" spans="2:6" x14ac:dyDescent="0.25">
      <c r="B91" s="1015" t="s">
        <v>60</v>
      </c>
      <c r="C91" s="1036"/>
      <c r="D91" s="1037"/>
      <c r="E91" s="1037"/>
      <c r="F91" s="1038"/>
    </row>
    <row r="92" spans="2:6" x14ac:dyDescent="0.25">
      <c r="B92" s="1016"/>
      <c r="C92" s="1039"/>
      <c r="D92" s="1040"/>
      <c r="E92" s="1040"/>
      <c r="F92" s="1041"/>
    </row>
    <row r="93" spans="2:6" ht="15.75" thickBot="1" x14ac:dyDescent="0.3">
      <c r="B93" s="1017"/>
      <c r="C93" s="1042"/>
      <c r="D93" s="1043"/>
      <c r="E93" s="1043"/>
      <c r="F93" s="1044"/>
    </row>
    <row r="94" spans="2:6" ht="15.75" thickBot="1" x14ac:dyDescent="0.3">
      <c r="B94" s="67" t="s">
        <v>61</v>
      </c>
      <c r="C94" s="1009" t="s">
        <v>106</v>
      </c>
      <c r="D94" s="1010"/>
      <c r="E94" s="1010"/>
      <c r="F94" s="1011"/>
    </row>
    <row r="95" spans="2:6" ht="15.75" thickBot="1" x14ac:dyDescent="0.3">
      <c r="B95" s="160" t="s">
        <v>129</v>
      </c>
      <c r="C95" s="992" t="s">
        <v>106</v>
      </c>
      <c r="D95" s="993"/>
      <c r="E95" s="993"/>
      <c r="F95" s="994"/>
    </row>
    <row r="96" spans="2:6" ht="15.75" thickBot="1" x14ac:dyDescent="0.3">
      <c r="B96" s="62" t="s">
        <v>17</v>
      </c>
      <c r="C96" s="983" t="s">
        <v>106</v>
      </c>
      <c r="D96" s="984"/>
      <c r="E96" s="984"/>
      <c r="F96" s="985"/>
    </row>
    <row r="97" spans="2:6" ht="15.75" thickBot="1" x14ac:dyDescent="0.3">
      <c r="B97" s="62" t="s">
        <v>18</v>
      </c>
      <c r="C97" s="995" t="s">
        <v>1422</v>
      </c>
      <c r="D97" s="996"/>
      <c r="E97" s="996"/>
      <c r="F97" s="997"/>
    </row>
    <row r="98" spans="2:6" x14ac:dyDescent="0.25">
      <c r="B98" s="998"/>
      <c r="C98" s="63">
        <v>2018</v>
      </c>
      <c r="D98" s="63">
        <v>2019</v>
      </c>
      <c r="E98" s="63">
        <v>2020</v>
      </c>
      <c r="F98" s="63">
        <v>2021</v>
      </c>
    </row>
    <row r="99" spans="2:6" ht="15.75" thickBot="1" x14ac:dyDescent="0.3">
      <c r="B99" s="999"/>
      <c r="C99" s="64" t="s">
        <v>10</v>
      </c>
      <c r="D99" s="64" t="s">
        <v>11</v>
      </c>
      <c r="E99" s="64" t="s">
        <v>11</v>
      </c>
      <c r="F99" s="64" t="s">
        <v>11</v>
      </c>
    </row>
    <row r="100" spans="2:6" ht="15.75" thickBot="1" x14ac:dyDescent="0.3">
      <c r="B100" s="62" t="s">
        <v>19</v>
      </c>
      <c r="C100" s="161"/>
      <c r="D100" s="161"/>
      <c r="E100" s="161"/>
      <c r="F100" s="161"/>
    </row>
    <row r="101" spans="2:6" ht="15.75" thickBot="1" x14ac:dyDescent="0.3">
      <c r="B101" s="62" t="s">
        <v>20</v>
      </c>
      <c r="C101" s="161">
        <v>0</v>
      </c>
      <c r="D101" s="161">
        <v>0</v>
      </c>
      <c r="E101" s="161">
        <v>0</v>
      </c>
      <c r="F101" s="161">
        <v>0</v>
      </c>
    </row>
    <row r="102" spans="2:6" ht="15.75" thickBot="1" x14ac:dyDescent="0.3">
      <c r="B102" s="62" t="s">
        <v>21</v>
      </c>
      <c r="C102" s="161" t="e">
        <f>C101/C100</f>
        <v>#DIV/0!</v>
      </c>
      <c r="D102" s="161" t="e">
        <f t="shared" ref="D102:F102" si="6">D101/D100</f>
        <v>#DIV/0!</v>
      </c>
      <c r="E102" s="161" t="e">
        <f t="shared" si="6"/>
        <v>#DIV/0!</v>
      </c>
      <c r="F102" s="161" t="e">
        <f t="shared" si="6"/>
        <v>#DIV/0!</v>
      </c>
    </row>
    <row r="103" spans="2:6" ht="15.75" thickBot="1" x14ac:dyDescent="0.3">
      <c r="B103" s="62" t="s">
        <v>22</v>
      </c>
      <c r="C103" s="636" t="s">
        <v>23</v>
      </c>
      <c r="D103" s="162" t="e">
        <f>D100/C100-1</f>
        <v>#DIV/0!</v>
      </c>
      <c r="E103" s="162" t="e">
        <f t="shared" ref="E103:F105" si="7">E100/D100-1</f>
        <v>#DIV/0!</v>
      </c>
      <c r="F103" s="162" t="e">
        <f t="shared" si="7"/>
        <v>#DIV/0!</v>
      </c>
    </row>
    <row r="104" spans="2:6" ht="15.75" thickBot="1" x14ac:dyDescent="0.3">
      <c r="B104" s="62" t="s">
        <v>24</v>
      </c>
      <c r="C104" s="636" t="s">
        <v>23</v>
      </c>
      <c r="D104" s="162" t="e">
        <f>D101/C101-1</f>
        <v>#DIV/0!</v>
      </c>
      <c r="E104" s="162" t="e">
        <f t="shared" si="7"/>
        <v>#DIV/0!</v>
      </c>
      <c r="F104" s="162" t="e">
        <f t="shared" si="7"/>
        <v>#DIV/0!</v>
      </c>
    </row>
    <row r="105" spans="2:6" ht="15.75" thickBot="1" x14ac:dyDescent="0.3">
      <c r="B105" s="62" t="s">
        <v>25</v>
      </c>
      <c r="C105" s="636" t="s">
        <v>23</v>
      </c>
      <c r="D105" s="162" t="e">
        <f>D102/C102-1</f>
        <v>#DIV/0!</v>
      </c>
      <c r="E105" s="162" t="e">
        <f t="shared" si="7"/>
        <v>#DIV/0!</v>
      </c>
      <c r="F105" s="162" t="e">
        <f t="shared" si="7"/>
        <v>#DIV/0!</v>
      </c>
    </row>
    <row r="106" spans="2:6" ht="15.75" thickBot="1" x14ac:dyDescent="0.3">
      <c r="B106" s="1000" t="s">
        <v>793</v>
      </c>
      <c r="C106" s="1001"/>
      <c r="D106" s="1001"/>
      <c r="E106" s="1001"/>
      <c r="F106" s="1002"/>
    </row>
    <row r="107" spans="2:6" x14ac:dyDescent="0.25">
      <c r="B107" s="998"/>
      <c r="C107" s="63">
        <v>2018</v>
      </c>
      <c r="D107" s="63">
        <v>2019</v>
      </c>
      <c r="E107" s="63">
        <v>2020</v>
      </c>
      <c r="F107" s="63">
        <v>2021</v>
      </c>
    </row>
    <row r="108" spans="2:6" ht="15.75" thickBot="1" x14ac:dyDescent="0.3">
      <c r="B108" s="999"/>
      <c r="C108" s="64" t="s">
        <v>10</v>
      </c>
      <c r="D108" s="64" t="s">
        <v>11</v>
      </c>
      <c r="E108" s="64" t="s">
        <v>11</v>
      </c>
      <c r="F108" s="64" t="s">
        <v>11</v>
      </c>
    </row>
    <row r="109" spans="2:6" ht="15.75" thickBot="1" x14ac:dyDescent="0.3">
      <c r="B109" s="65" t="s">
        <v>58</v>
      </c>
      <c r="C109" s="164"/>
      <c r="D109" s="164"/>
      <c r="E109" s="164"/>
      <c r="F109" s="164"/>
    </row>
    <row r="110" spans="2:6" ht="15.75" thickBot="1" x14ac:dyDescent="0.3">
      <c r="B110" s="65" t="s">
        <v>59</v>
      </c>
      <c r="C110" s="165">
        <v>0</v>
      </c>
      <c r="D110" s="164">
        <v>0</v>
      </c>
      <c r="E110" s="164">
        <v>0</v>
      </c>
      <c r="F110" s="164">
        <v>0</v>
      </c>
    </row>
    <row r="111" spans="2:6" ht="15.75" thickBot="1" x14ac:dyDescent="0.3">
      <c r="B111" s="66" t="s">
        <v>74</v>
      </c>
      <c r="C111" s="165">
        <f>C110+C109</f>
        <v>0</v>
      </c>
      <c r="D111" s="165">
        <f t="shared" ref="D111:F111" si="8">D110+D109</f>
        <v>0</v>
      </c>
      <c r="E111" s="165">
        <f t="shared" si="8"/>
        <v>0</v>
      </c>
      <c r="F111" s="165">
        <f t="shared" si="8"/>
        <v>0</v>
      </c>
    </row>
    <row r="112" spans="2:6" ht="15.75" thickBot="1" x14ac:dyDescent="0.3">
      <c r="B112" s="989" t="s">
        <v>63</v>
      </c>
      <c r="C112" s="990"/>
      <c r="D112" s="990"/>
      <c r="E112" s="990"/>
      <c r="F112" s="991"/>
    </row>
    <row r="113" spans="2:6" ht="15.75" thickBot="1" x14ac:dyDescent="0.3">
      <c r="B113" s="989" t="s">
        <v>64</v>
      </c>
      <c r="C113" s="990"/>
      <c r="D113" s="990"/>
      <c r="E113" s="990"/>
      <c r="F113" s="991"/>
    </row>
    <row r="114" spans="2:6" ht="15.75" thickBot="1" x14ac:dyDescent="0.3">
      <c r="B114" s="67" t="s">
        <v>61</v>
      </c>
      <c r="C114" s="1009" t="s">
        <v>130</v>
      </c>
      <c r="D114" s="1010"/>
      <c r="E114" s="1010"/>
      <c r="F114" s="1011"/>
    </row>
    <row r="115" spans="2:6" ht="15.75" thickBot="1" x14ac:dyDescent="0.3">
      <c r="B115" s="160" t="s">
        <v>16</v>
      </c>
      <c r="C115" s="992" t="s">
        <v>106</v>
      </c>
      <c r="D115" s="993"/>
      <c r="E115" s="993"/>
      <c r="F115" s="994"/>
    </row>
    <row r="116" spans="2:6" ht="15.75" thickBot="1" x14ac:dyDescent="0.3">
      <c r="B116" s="62" t="s">
        <v>17</v>
      </c>
      <c r="C116" s="983" t="s">
        <v>106</v>
      </c>
      <c r="D116" s="984"/>
      <c r="E116" s="984"/>
      <c r="F116" s="985"/>
    </row>
    <row r="117" spans="2:6" ht="15.75" thickBot="1" x14ac:dyDescent="0.3">
      <c r="B117" s="62" t="s">
        <v>18</v>
      </c>
      <c r="C117" s="995" t="s">
        <v>106</v>
      </c>
      <c r="D117" s="996"/>
      <c r="E117" s="996"/>
      <c r="F117" s="997"/>
    </row>
    <row r="118" spans="2:6" x14ac:dyDescent="0.25">
      <c r="B118" s="998"/>
      <c r="C118" s="63">
        <v>2018</v>
      </c>
      <c r="D118" s="63">
        <v>2019</v>
      </c>
      <c r="E118" s="63">
        <v>2020</v>
      </c>
      <c r="F118" s="63">
        <v>2021</v>
      </c>
    </row>
    <row r="119" spans="2:6" ht="15.75" thickBot="1" x14ac:dyDescent="0.3">
      <c r="B119" s="999"/>
      <c r="C119" s="64" t="s">
        <v>10</v>
      </c>
      <c r="D119" s="64" t="s">
        <v>11</v>
      </c>
      <c r="E119" s="64" t="s">
        <v>11</v>
      </c>
      <c r="F119" s="64" t="s">
        <v>11</v>
      </c>
    </row>
    <row r="120" spans="2:6" ht="15.75" thickBot="1" x14ac:dyDescent="0.3">
      <c r="B120" s="62" t="s">
        <v>19</v>
      </c>
      <c r="C120" s="161"/>
      <c r="D120" s="161"/>
      <c r="E120" s="161"/>
      <c r="F120" s="161"/>
    </row>
    <row r="121" spans="2:6" ht="15.75" thickBot="1" x14ac:dyDescent="0.3">
      <c r="B121" s="62" t="s">
        <v>20</v>
      </c>
      <c r="C121" s="161"/>
      <c r="D121" s="161"/>
      <c r="E121" s="161"/>
      <c r="F121" s="161"/>
    </row>
    <row r="122" spans="2:6" ht="15.75" thickBot="1" x14ac:dyDescent="0.3">
      <c r="B122" s="62" t="s">
        <v>21</v>
      </c>
      <c r="C122" s="161" t="e">
        <f>C121/C120</f>
        <v>#DIV/0!</v>
      </c>
      <c r="D122" s="161" t="e">
        <f t="shared" ref="D122:F122" si="9">D121/D120</f>
        <v>#DIV/0!</v>
      </c>
      <c r="E122" s="161" t="e">
        <f t="shared" si="9"/>
        <v>#DIV/0!</v>
      </c>
      <c r="F122" s="161" t="e">
        <f t="shared" si="9"/>
        <v>#DIV/0!</v>
      </c>
    </row>
    <row r="123" spans="2:6" ht="15.75" thickBot="1" x14ac:dyDescent="0.3">
      <c r="B123" s="62" t="s">
        <v>22</v>
      </c>
      <c r="C123" s="636" t="s">
        <v>23</v>
      </c>
      <c r="D123" s="162" t="e">
        <f>D120/C120-1</f>
        <v>#DIV/0!</v>
      </c>
      <c r="E123" s="162" t="e">
        <f t="shared" ref="E123:F125" si="10">E120/D120-1</f>
        <v>#DIV/0!</v>
      </c>
      <c r="F123" s="162" t="e">
        <f t="shared" si="10"/>
        <v>#DIV/0!</v>
      </c>
    </row>
    <row r="124" spans="2:6" ht="15.75" thickBot="1" x14ac:dyDescent="0.3">
      <c r="B124" s="62" t="s">
        <v>24</v>
      </c>
      <c r="C124" s="636" t="s">
        <v>23</v>
      </c>
      <c r="D124" s="162" t="e">
        <f>D121/C121-1</f>
        <v>#DIV/0!</v>
      </c>
      <c r="E124" s="162" t="e">
        <f t="shared" si="10"/>
        <v>#DIV/0!</v>
      </c>
      <c r="F124" s="162" t="e">
        <f t="shared" si="10"/>
        <v>#DIV/0!</v>
      </c>
    </row>
    <row r="125" spans="2:6" ht="15.75" thickBot="1" x14ac:dyDescent="0.3">
      <c r="B125" s="62" t="s">
        <v>25</v>
      </c>
      <c r="C125" s="636" t="s">
        <v>23</v>
      </c>
      <c r="D125" s="162" t="e">
        <f>D122/C122-1</f>
        <v>#DIV/0!</v>
      </c>
      <c r="E125" s="162" t="e">
        <f t="shared" si="10"/>
        <v>#DIV/0!</v>
      </c>
      <c r="F125" s="162" t="e">
        <f t="shared" si="10"/>
        <v>#DIV/0!</v>
      </c>
    </row>
    <row r="126" spans="2:6" ht="15.75" thickBot="1" x14ac:dyDescent="0.3">
      <c r="B126" s="1000" t="s">
        <v>784</v>
      </c>
      <c r="C126" s="1001"/>
      <c r="D126" s="1001"/>
      <c r="E126" s="1001"/>
      <c r="F126" s="1002"/>
    </row>
    <row r="127" spans="2:6" x14ac:dyDescent="0.25">
      <c r="B127" s="998"/>
      <c r="C127" s="63">
        <v>2018</v>
      </c>
      <c r="D127" s="63">
        <v>2019</v>
      </c>
      <c r="E127" s="63">
        <v>2020</v>
      </c>
      <c r="F127" s="63">
        <v>2021</v>
      </c>
    </row>
    <row r="128" spans="2:6" ht="15.75" thickBot="1" x14ac:dyDescent="0.3">
      <c r="B128" s="999"/>
      <c r="C128" s="64" t="s">
        <v>10</v>
      </c>
      <c r="D128" s="64" t="s">
        <v>11</v>
      </c>
      <c r="E128" s="64" t="s">
        <v>11</v>
      </c>
      <c r="F128" s="64" t="s">
        <v>11</v>
      </c>
    </row>
    <row r="129" spans="2:6" ht="15.75" thickBot="1" x14ac:dyDescent="0.3">
      <c r="B129" s="65" t="s">
        <v>58</v>
      </c>
      <c r="C129" s="164"/>
      <c r="D129" s="164"/>
      <c r="E129" s="164"/>
      <c r="F129" s="164"/>
    </row>
    <row r="130" spans="2:6" ht="15.75" thickBot="1" x14ac:dyDescent="0.3">
      <c r="B130" s="65" t="s">
        <v>59</v>
      </c>
      <c r="C130" s="165"/>
      <c r="D130" s="164"/>
      <c r="E130" s="164"/>
      <c r="F130" s="164"/>
    </row>
    <row r="131" spans="2:6" ht="15.75" thickBot="1" x14ac:dyDescent="0.3">
      <c r="B131" s="66" t="s">
        <v>40</v>
      </c>
      <c r="C131" s="165">
        <f>C130+C129</f>
        <v>0</v>
      </c>
      <c r="D131" s="165">
        <f t="shared" ref="D131:F131" si="11">D130+D129</f>
        <v>0</v>
      </c>
      <c r="E131" s="165">
        <f t="shared" si="11"/>
        <v>0</v>
      </c>
      <c r="F131" s="165">
        <f t="shared" si="11"/>
        <v>0</v>
      </c>
    </row>
    <row r="132" spans="2:6" ht="15.75" thickBot="1" x14ac:dyDescent="0.3">
      <c r="B132" s="197" t="s">
        <v>61</v>
      </c>
      <c r="C132" s="1009" t="s">
        <v>130</v>
      </c>
      <c r="D132" s="1010"/>
      <c r="E132" s="1010"/>
      <c r="F132" s="1011"/>
    </row>
    <row r="133" spans="2:6" ht="15.75" thickBot="1" x14ac:dyDescent="0.3">
      <c r="B133" s="160" t="s">
        <v>129</v>
      </c>
      <c r="C133" s="992" t="s">
        <v>106</v>
      </c>
      <c r="D133" s="993"/>
      <c r="E133" s="993"/>
      <c r="F133" s="994"/>
    </row>
    <row r="134" spans="2:6" ht="15.75" thickBot="1" x14ac:dyDescent="0.3">
      <c r="B134" s="62" t="s">
        <v>17</v>
      </c>
      <c r="C134" s="983" t="s">
        <v>106</v>
      </c>
      <c r="D134" s="984"/>
      <c r="E134" s="984"/>
      <c r="F134" s="985"/>
    </row>
    <row r="135" spans="2:6" ht="15.75" thickBot="1" x14ac:dyDescent="0.3">
      <c r="B135" s="62" t="s">
        <v>18</v>
      </c>
      <c r="C135" s="995" t="s">
        <v>106</v>
      </c>
      <c r="D135" s="996"/>
      <c r="E135" s="996"/>
      <c r="F135" s="997"/>
    </row>
    <row r="136" spans="2:6" x14ac:dyDescent="0.25">
      <c r="B136" s="998"/>
      <c r="C136" s="63">
        <v>2018</v>
      </c>
      <c r="D136" s="63">
        <v>2019</v>
      </c>
      <c r="E136" s="63">
        <v>2020</v>
      </c>
      <c r="F136" s="63">
        <v>2021</v>
      </c>
    </row>
    <row r="137" spans="2:6" ht="15.75" thickBot="1" x14ac:dyDescent="0.3">
      <c r="B137" s="999"/>
      <c r="C137" s="64" t="s">
        <v>10</v>
      </c>
      <c r="D137" s="64" t="s">
        <v>11</v>
      </c>
      <c r="E137" s="64" t="s">
        <v>11</v>
      </c>
      <c r="F137" s="64" t="s">
        <v>11</v>
      </c>
    </row>
    <row r="138" spans="2:6" ht="15.75" thickBot="1" x14ac:dyDescent="0.3">
      <c r="B138" s="62" t="s">
        <v>19</v>
      </c>
      <c r="C138" s="161"/>
      <c r="D138" s="161"/>
      <c r="E138" s="161"/>
      <c r="F138" s="161"/>
    </row>
    <row r="139" spans="2:6" ht="15.75" thickBot="1" x14ac:dyDescent="0.3">
      <c r="B139" s="62" t="s">
        <v>20</v>
      </c>
      <c r="C139" s="161"/>
      <c r="D139" s="161"/>
      <c r="E139" s="161"/>
      <c r="F139" s="161"/>
    </row>
    <row r="140" spans="2:6" ht="15.75" thickBot="1" x14ac:dyDescent="0.3">
      <c r="B140" s="62" t="s">
        <v>21</v>
      </c>
      <c r="C140" s="161" t="e">
        <f>C139/C138</f>
        <v>#DIV/0!</v>
      </c>
      <c r="D140" s="161" t="e">
        <f t="shared" ref="D140:F140" si="12">D139/D138</f>
        <v>#DIV/0!</v>
      </c>
      <c r="E140" s="161" t="e">
        <f t="shared" si="12"/>
        <v>#DIV/0!</v>
      </c>
      <c r="F140" s="161" t="e">
        <f t="shared" si="12"/>
        <v>#DIV/0!</v>
      </c>
    </row>
    <row r="141" spans="2:6" ht="15.75" thickBot="1" x14ac:dyDescent="0.3">
      <c r="B141" s="62" t="s">
        <v>22</v>
      </c>
      <c r="C141" s="636" t="s">
        <v>23</v>
      </c>
      <c r="D141" s="162" t="e">
        <f>D138/C138-1</f>
        <v>#DIV/0!</v>
      </c>
      <c r="E141" s="162" t="e">
        <f t="shared" ref="E141:F143" si="13">E138/D138-1</f>
        <v>#DIV/0!</v>
      </c>
      <c r="F141" s="162" t="e">
        <f t="shared" si="13"/>
        <v>#DIV/0!</v>
      </c>
    </row>
    <row r="142" spans="2:6" ht="15.75" thickBot="1" x14ac:dyDescent="0.3">
      <c r="B142" s="62" t="s">
        <v>24</v>
      </c>
      <c r="C142" s="636" t="s">
        <v>23</v>
      </c>
      <c r="D142" s="162" t="e">
        <f>D139/C139-1</f>
        <v>#DIV/0!</v>
      </c>
      <c r="E142" s="162" t="e">
        <f t="shared" si="13"/>
        <v>#DIV/0!</v>
      </c>
      <c r="F142" s="162" t="e">
        <f t="shared" si="13"/>
        <v>#DIV/0!</v>
      </c>
    </row>
    <row r="143" spans="2:6" ht="15.75" thickBot="1" x14ac:dyDescent="0.3">
      <c r="B143" s="62" t="s">
        <v>25</v>
      </c>
      <c r="C143" s="636" t="s">
        <v>23</v>
      </c>
      <c r="D143" s="162" t="e">
        <f>D140/C140-1</f>
        <v>#DIV/0!</v>
      </c>
      <c r="E143" s="162" t="e">
        <f t="shared" si="13"/>
        <v>#DIV/0!</v>
      </c>
      <c r="F143" s="162" t="e">
        <f t="shared" si="13"/>
        <v>#DIV/0!</v>
      </c>
    </row>
    <row r="144" spans="2:6" ht="15.75" thickBot="1" x14ac:dyDescent="0.3">
      <c r="B144" s="1000" t="s">
        <v>793</v>
      </c>
      <c r="C144" s="1001"/>
      <c r="D144" s="1001"/>
      <c r="E144" s="1001"/>
      <c r="F144" s="1002"/>
    </row>
    <row r="145" spans="2:6" x14ac:dyDescent="0.25">
      <c r="B145" s="998"/>
      <c r="C145" s="63">
        <v>2018</v>
      </c>
      <c r="D145" s="63">
        <v>2019</v>
      </c>
      <c r="E145" s="63">
        <v>2020</v>
      </c>
      <c r="F145" s="63">
        <v>2021</v>
      </c>
    </row>
    <row r="146" spans="2:6" ht="15.75" thickBot="1" x14ac:dyDescent="0.3">
      <c r="B146" s="999"/>
      <c r="C146" s="64" t="s">
        <v>10</v>
      </c>
      <c r="D146" s="64" t="s">
        <v>11</v>
      </c>
      <c r="E146" s="64" t="s">
        <v>11</v>
      </c>
      <c r="F146" s="64" t="s">
        <v>11</v>
      </c>
    </row>
    <row r="147" spans="2:6" ht="15.75" thickBot="1" x14ac:dyDescent="0.3">
      <c r="B147" s="65" t="s">
        <v>58</v>
      </c>
      <c r="C147" s="164"/>
      <c r="D147" s="164"/>
      <c r="E147" s="164"/>
      <c r="F147" s="164"/>
    </row>
    <row r="148" spans="2:6" ht="15.75" thickBot="1" x14ac:dyDescent="0.3">
      <c r="B148" s="65" t="s">
        <v>59</v>
      </c>
      <c r="C148" s="165"/>
      <c r="D148" s="164"/>
      <c r="E148" s="164"/>
      <c r="F148" s="164"/>
    </row>
    <row r="149" spans="2:6" ht="15.75" thickBot="1" x14ac:dyDescent="0.3">
      <c r="B149" s="66" t="s">
        <v>74</v>
      </c>
      <c r="C149" s="165">
        <f>C148+C147</f>
        <v>0</v>
      </c>
      <c r="D149" s="165">
        <f t="shared" ref="D149:F149" si="14">D148+D147</f>
        <v>0</v>
      </c>
      <c r="E149" s="165">
        <f t="shared" si="14"/>
        <v>0</v>
      </c>
      <c r="F149" s="165">
        <f t="shared" si="14"/>
        <v>0</v>
      </c>
    </row>
    <row r="150" spans="2:6" ht="15.75" thickBot="1" x14ac:dyDescent="0.3">
      <c r="B150" s="154" t="s">
        <v>67</v>
      </c>
      <c r="C150" s="1007" t="s">
        <v>1424</v>
      </c>
      <c r="D150" s="1006"/>
      <c r="E150" s="1006"/>
      <c r="F150" s="1008"/>
    </row>
    <row r="151" spans="2:6" ht="15.75" thickBot="1" x14ac:dyDescent="0.3">
      <c r="B151" s="983" t="s">
        <v>68</v>
      </c>
      <c r="C151" s="984"/>
      <c r="D151" s="984"/>
      <c r="E151" s="984"/>
      <c r="F151" s="985"/>
    </row>
    <row r="152" spans="2:6" ht="30.75" thickBot="1" x14ac:dyDescent="0.3">
      <c r="B152" s="637" t="s">
        <v>1425</v>
      </c>
      <c r="C152" s="203">
        <v>1236</v>
      </c>
      <c r="D152" s="203">
        <v>1236</v>
      </c>
      <c r="E152" s="203">
        <v>1236</v>
      </c>
      <c r="F152" s="203">
        <v>1236</v>
      </c>
    </row>
    <row r="153" spans="2:6" ht="15.75" thickBot="1" x14ac:dyDescent="0.3">
      <c r="B153" s="62" t="s">
        <v>1426</v>
      </c>
      <c r="C153" s="203">
        <v>20</v>
      </c>
      <c r="D153" s="203">
        <v>20</v>
      </c>
      <c r="E153" s="203">
        <v>20</v>
      </c>
      <c r="F153" s="203">
        <v>20</v>
      </c>
    </row>
    <row r="154" spans="2:6" ht="15.75" thickBot="1" x14ac:dyDescent="0.3">
      <c r="B154" s="62" t="s">
        <v>115</v>
      </c>
      <c r="C154" s="157" t="s">
        <v>116</v>
      </c>
      <c r="D154" s="157" t="s">
        <v>117</v>
      </c>
      <c r="E154" s="157" t="s">
        <v>117</v>
      </c>
      <c r="F154" s="157" t="s">
        <v>117</v>
      </c>
    </row>
    <row r="155" spans="2:6" ht="15.75" thickBot="1" x14ac:dyDescent="0.3">
      <c r="B155" s="1027" t="s">
        <v>69</v>
      </c>
      <c r="C155" s="1028"/>
      <c r="D155" s="1028"/>
      <c r="E155" s="1028"/>
      <c r="F155" s="1029"/>
    </row>
    <row r="156" spans="2:6" ht="15.75" thickBot="1" x14ac:dyDescent="0.3">
      <c r="B156" s="1030" t="s">
        <v>70</v>
      </c>
      <c r="C156" s="1031"/>
      <c r="D156" s="1031"/>
      <c r="E156" s="1031"/>
      <c r="F156" s="1032"/>
    </row>
    <row r="157" spans="2:6" x14ac:dyDescent="0.25">
      <c r="B157" s="998"/>
      <c r="C157" s="63">
        <v>2018</v>
      </c>
      <c r="D157" s="63">
        <v>2019</v>
      </c>
      <c r="E157" s="63">
        <v>2020</v>
      </c>
      <c r="F157" s="63">
        <v>2021</v>
      </c>
    </row>
    <row r="158" spans="2:6" ht="15.75" thickBot="1" x14ac:dyDescent="0.3">
      <c r="B158" s="999"/>
      <c r="C158" s="64" t="s">
        <v>10</v>
      </c>
      <c r="D158" s="64" t="s">
        <v>11</v>
      </c>
      <c r="E158" s="64" t="s">
        <v>11</v>
      </c>
      <c r="F158" s="64" t="s">
        <v>11</v>
      </c>
    </row>
    <row r="159" spans="2:6" ht="15.75" thickBot="1" x14ac:dyDescent="0.3">
      <c r="B159" s="160" t="s">
        <v>16</v>
      </c>
      <c r="C159" s="992" t="s">
        <v>1427</v>
      </c>
      <c r="D159" s="993"/>
      <c r="E159" s="993"/>
      <c r="F159" s="994"/>
    </row>
    <row r="160" spans="2:6" ht="15.75" thickBot="1" x14ac:dyDescent="0.3">
      <c r="B160" s="62" t="s">
        <v>17</v>
      </c>
      <c r="C160" s="983" t="s">
        <v>1427</v>
      </c>
      <c r="D160" s="984"/>
      <c r="E160" s="984"/>
      <c r="F160" s="985"/>
    </row>
    <row r="161" spans="2:6" ht="15.75" thickBot="1" x14ac:dyDescent="0.3">
      <c r="B161" s="62" t="s">
        <v>18</v>
      </c>
      <c r="C161" s="995" t="s">
        <v>1418</v>
      </c>
      <c r="D161" s="996"/>
      <c r="E161" s="996"/>
      <c r="F161" s="997"/>
    </row>
    <row r="162" spans="2:6" x14ac:dyDescent="0.25">
      <c r="B162" s="998"/>
      <c r="C162" s="63">
        <v>2018</v>
      </c>
      <c r="D162" s="63">
        <v>2019</v>
      </c>
      <c r="E162" s="63">
        <v>2020</v>
      </c>
      <c r="F162" s="63">
        <v>2021</v>
      </c>
    </row>
    <row r="163" spans="2:6" ht="15.75" thickBot="1" x14ac:dyDescent="0.3">
      <c r="B163" s="999"/>
      <c r="C163" s="64" t="s">
        <v>10</v>
      </c>
      <c r="D163" s="64" t="s">
        <v>11</v>
      </c>
      <c r="E163" s="64" t="s">
        <v>11</v>
      </c>
      <c r="F163" s="64" t="s">
        <v>11</v>
      </c>
    </row>
    <row r="164" spans="2:6" ht="15.75" thickBot="1" x14ac:dyDescent="0.3">
      <c r="B164" s="62" t="s">
        <v>19</v>
      </c>
      <c r="C164" s="161">
        <v>1236</v>
      </c>
      <c r="D164" s="203">
        <v>1236</v>
      </c>
      <c r="E164" s="203">
        <v>1236</v>
      </c>
      <c r="F164" s="203">
        <v>1236</v>
      </c>
    </row>
    <row r="165" spans="2:6" ht="15.75" thickBot="1" x14ac:dyDescent="0.3">
      <c r="B165" s="62" t="s">
        <v>20</v>
      </c>
      <c r="C165" s="161">
        <v>20666</v>
      </c>
      <c r="D165" s="161">
        <v>20904</v>
      </c>
      <c r="E165" s="161">
        <v>21149</v>
      </c>
      <c r="F165" s="161">
        <v>21401</v>
      </c>
    </row>
    <row r="166" spans="2:6" ht="15.75" thickBot="1" x14ac:dyDescent="0.3">
      <c r="B166" s="62" t="s">
        <v>21</v>
      </c>
      <c r="C166" s="161">
        <f>C165/C164</f>
        <v>16.720064724919094</v>
      </c>
      <c r="D166" s="161">
        <f t="shared" ref="D166:F166" si="15">D165/D164</f>
        <v>16.912621359223301</v>
      </c>
      <c r="E166" s="161">
        <f t="shared" si="15"/>
        <v>17.110841423948219</v>
      </c>
      <c r="F166" s="161">
        <f t="shared" si="15"/>
        <v>17.314724919093852</v>
      </c>
    </row>
    <row r="167" spans="2:6" ht="15.75" thickBot="1" x14ac:dyDescent="0.3">
      <c r="B167" s="62" t="s">
        <v>22</v>
      </c>
      <c r="C167" s="636"/>
      <c r="D167" s="162">
        <f>D164/C164-1</f>
        <v>0</v>
      </c>
      <c r="E167" s="162">
        <f t="shared" ref="E167:F169" si="16">E164/D164-1</f>
        <v>0</v>
      </c>
      <c r="F167" s="162">
        <f t="shared" si="16"/>
        <v>0</v>
      </c>
    </row>
    <row r="168" spans="2:6" ht="15.75" thickBot="1" x14ac:dyDescent="0.3">
      <c r="B168" s="62" t="s">
        <v>24</v>
      </c>
      <c r="C168" s="636"/>
      <c r="D168" s="162">
        <f>D165/C165-1</f>
        <v>1.1516500532275264E-2</v>
      </c>
      <c r="E168" s="162">
        <f t="shared" si="16"/>
        <v>1.1720244929200208E-2</v>
      </c>
      <c r="F168" s="162">
        <f t="shared" si="16"/>
        <v>1.1915456995602591E-2</v>
      </c>
    </row>
    <row r="169" spans="2:6" ht="15.75" thickBot="1" x14ac:dyDescent="0.3">
      <c r="B169" s="62" t="s">
        <v>25</v>
      </c>
      <c r="C169" s="636"/>
      <c r="D169" s="162">
        <f>D166/C166-1</f>
        <v>1.1516500532275264E-2</v>
      </c>
      <c r="E169" s="162">
        <f t="shared" si="16"/>
        <v>1.1720244929199986E-2</v>
      </c>
      <c r="F169" s="162">
        <f t="shared" si="16"/>
        <v>1.1915456995602591E-2</v>
      </c>
    </row>
    <row r="170" spans="2:6" x14ac:dyDescent="0.25">
      <c r="B170" s="998"/>
      <c r="C170" s="63">
        <v>2018</v>
      </c>
      <c r="D170" s="63">
        <v>2019</v>
      </c>
      <c r="E170" s="63">
        <v>2020</v>
      </c>
      <c r="F170" s="63">
        <v>2021</v>
      </c>
    </row>
    <row r="171" spans="2:6" ht="15.75" thickBot="1" x14ac:dyDescent="0.3">
      <c r="B171" s="999"/>
      <c r="C171" s="64" t="s">
        <v>10</v>
      </c>
      <c r="D171" s="64" t="s">
        <v>11</v>
      </c>
      <c r="E171" s="64" t="s">
        <v>11</v>
      </c>
      <c r="F171" s="64" t="s">
        <v>11</v>
      </c>
    </row>
    <row r="172" spans="2:6" ht="15.75" thickBot="1" x14ac:dyDescent="0.3">
      <c r="B172" s="1000" t="s">
        <v>794</v>
      </c>
      <c r="C172" s="1001"/>
      <c r="D172" s="1001"/>
      <c r="E172" s="1001"/>
      <c r="F172" s="1002"/>
    </row>
    <row r="173" spans="2:6" x14ac:dyDescent="0.25">
      <c r="B173" s="998"/>
      <c r="C173" s="63">
        <v>2018</v>
      </c>
      <c r="D173" s="63">
        <v>2019</v>
      </c>
      <c r="E173" s="63">
        <v>2020</v>
      </c>
      <c r="F173" s="63">
        <v>2021</v>
      </c>
    </row>
    <row r="174" spans="2:6" ht="15.75" thickBot="1" x14ac:dyDescent="0.3">
      <c r="B174" s="999"/>
      <c r="C174" s="64" t="s">
        <v>10</v>
      </c>
      <c r="D174" s="64" t="s">
        <v>11</v>
      </c>
      <c r="E174" s="64" t="s">
        <v>11</v>
      </c>
      <c r="F174" s="64" t="s">
        <v>11</v>
      </c>
    </row>
    <row r="175" spans="2:6" ht="15.75" thickBot="1" x14ac:dyDescent="0.3">
      <c r="B175" s="65" t="s">
        <v>26</v>
      </c>
      <c r="C175" s="164">
        <v>10980</v>
      </c>
      <c r="D175" s="164">
        <v>10980</v>
      </c>
      <c r="E175" s="164">
        <v>10980</v>
      </c>
      <c r="F175" s="164">
        <v>10980</v>
      </c>
    </row>
    <row r="176" spans="2:6" ht="15.75" thickBot="1" x14ac:dyDescent="0.3">
      <c r="B176" s="65" t="s">
        <v>28</v>
      </c>
      <c r="C176" s="164">
        <v>1756</v>
      </c>
      <c r="D176" s="164">
        <v>1756</v>
      </c>
      <c r="E176" s="164">
        <v>1756</v>
      </c>
      <c r="F176" s="164">
        <v>1756</v>
      </c>
    </row>
    <row r="177" spans="2:6" ht="15.75" thickBot="1" x14ac:dyDescent="0.3">
      <c r="B177" s="65" t="s">
        <v>30</v>
      </c>
      <c r="C177" s="165">
        <v>7930</v>
      </c>
      <c r="D177" s="164">
        <v>8168</v>
      </c>
      <c r="E177" s="164">
        <v>8413</v>
      </c>
      <c r="F177" s="164">
        <v>8665</v>
      </c>
    </row>
    <row r="178" spans="2:6" ht="15.75" thickBot="1" x14ac:dyDescent="0.3">
      <c r="B178" s="65" t="s">
        <v>32</v>
      </c>
      <c r="C178" s="165"/>
      <c r="D178" s="164"/>
      <c r="E178" s="164"/>
      <c r="F178" s="164"/>
    </row>
    <row r="179" spans="2:6" ht="15.75" thickBot="1" x14ac:dyDescent="0.3">
      <c r="B179" s="65" t="s">
        <v>34</v>
      </c>
      <c r="C179" s="165"/>
      <c r="D179" s="164"/>
      <c r="E179" s="164"/>
      <c r="F179" s="164"/>
    </row>
    <row r="180" spans="2:6" ht="15.75" thickBot="1" x14ac:dyDescent="0.3">
      <c r="B180" s="65" t="s">
        <v>36</v>
      </c>
      <c r="C180" s="165"/>
      <c r="D180" s="164"/>
      <c r="E180" s="164"/>
      <c r="F180" s="164"/>
    </row>
    <row r="181" spans="2:6" ht="15.75" thickBot="1" x14ac:dyDescent="0.3">
      <c r="B181" s="65" t="s">
        <v>38</v>
      </c>
      <c r="C181" s="165"/>
      <c r="D181" s="164"/>
      <c r="E181" s="164"/>
      <c r="F181" s="164"/>
    </row>
    <row r="182" spans="2:6" ht="30.75" thickBot="1" x14ac:dyDescent="0.3">
      <c r="B182" s="204" t="s">
        <v>71</v>
      </c>
      <c r="C182" s="205">
        <f>C181+C180+C179+C178+C177+C176+C175</f>
        <v>20666</v>
      </c>
      <c r="D182" s="205">
        <f>D181+D180+D179+D178+D177+D176+D175</f>
        <v>20904</v>
      </c>
      <c r="E182" s="205">
        <f>E181+E180+E179+E178+E177+E176+E175</f>
        <v>21149</v>
      </c>
      <c r="F182" s="205">
        <f>F181+F180+F179+F178+F177+F176+F175</f>
        <v>21401</v>
      </c>
    </row>
    <row r="183" spans="2:6" ht="15.75" thickBot="1" x14ac:dyDescent="0.3">
      <c r="B183" s="166" t="s">
        <v>41</v>
      </c>
      <c r="C183" s="167">
        <f>IF(C182-C165=0,0,"Error")</f>
        <v>0</v>
      </c>
      <c r="D183" s="167">
        <f>IF(D182-D165=0,0,"Error")</f>
        <v>0</v>
      </c>
      <c r="E183" s="167">
        <f>IF(E182-E165=0,0,"Error")</f>
        <v>0</v>
      </c>
      <c r="F183" s="167">
        <f>IF(F182-F165=0,0,"Error")</f>
        <v>0</v>
      </c>
    </row>
    <row r="184" spans="2:6" ht="15.75" thickBot="1" x14ac:dyDescent="0.3">
      <c r="B184" s="195" t="s">
        <v>1312</v>
      </c>
      <c r="C184" s="992" t="s">
        <v>1428</v>
      </c>
      <c r="D184" s="993"/>
      <c r="E184" s="993"/>
      <c r="F184" s="994"/>
    </row>
    <row r="185" spans="2:6" ht="15.75" thickBot="1" x14ac:dyDescent="0.3">
      <c r="B185" s="62" t="s">
        <v>17</v>
      </c>
      <c r="C185" s="983" t="s">
        <v>1428</v>
      </c>
      <c r="D185" s="984"/>
      <c r="E185" s="984"/>
      <c r="F185" s="985"/>
    </row>
    <row r="186" spans="2:6" ht="15.75" thickBot="1" x14ac:dyDescent="0.3">
      <c r="B186" s="62" t="s">
        <v>18</v>
      </c>
      <c r="C186" s="995" t="s">
        <v>1429</v>
      </c>
      <c r="D186" s="996"/>
      <c r="E186" s="996"/>
      <c r="F186" s="997"/>
    </row>
    <row r="187" spans="2:6" x14ac:dyDescent="0.25">
      <c r="B187" s="998"/>
      <c r="C187" s="63">
        <v>2018</v>
      </c>
      <c r="D187" s="63">
        <v>2019</v>
      </c>
      <c r="E187" s="63">
        <v>2020</v>
      </c>
      <c r="F187" s="63">
        <v>2021</v>
      </c>
    </row>
    <row r="188" spans="2:6" ht="15.75" thickBot="1" x14ac:dyDescent="0.3">
      <c r="B188" s="999"/>
      <c r="C188" s="64" t="s">
        <v>10</v>
      </c>
      <c r="D188" s="64" t="s">
        <v>11</v>
      </c>
      <c r="E188" s="64" t="s">
        <v>11</v>
      </c>
      <c r="F188" s="64" t="s">
        <v>11</v>
      </c>
    </row>
    <row r="189" spans="2:6" ht="15.75" thickBot="1" x14ac:dyDescent="0.3">
      <c r="B189" s="62" t="s">
        <v>19</v>
      </c>
      <c r="C189" s="161">
        <v>20</v>
      </c>
      <c r="D189" s="161">
        <v>20</v>
      </c>
      <c r="E189" s="161">
        <v>20</v>
      </c>
      <c r="F189" s="161">
        <v>20</v>
      </c>
    </row>
    <row r="190" spans="2:6" ht="15.75" thickBot="1" x14ac:dyDescent="0.3">
      <c r="B190" s="229" t="s">
        <v>20</v>
      </c>
      <c r="C190" s="194">
        <v>0</v>
      </c>
      <c r="D190" s="194">
        <v>0</v>
      </c>
      <c r="E190" s="194">
        <v>0</v>
      </c>
      <c r="F190" s="194">
        <v>0</v>
      </c>
    </row>
    <row r="191" spans="2:6" ht="15.75" thickBot="1" x14ac:dyDescent="0.3">
      <c r="B191" s="229" t="s">
        <v>21</v>
      </c>
      <c r="C191" s="194">
        <f>C190/C189</f>
        <v>0</v>
      </c>
      <c r="D191" s="194">
        <f t="shared" ref="D191:F191" si="17">D190/D189</f>
        <v>0</v>
      </c>
      <c r="E191" s="194">
        <f t="shared" si="17"/>
        <v>0</v>
      </c>
      <c r="F191" s="194">
        <f t="shared" si="17"/>
        <v>0</v>
      </c>
    </row>
    <row r="192" spans="2:6" ht="15.75" thickBot="1" x14ac:dyDescent="0.3">
      <c r="B192" s="229" t="s">
        <v>22</v>
      </c>
      <c r="C192" s="642"/>
      <c r="D192" s="234">
        <f>D189/C189-1</f>
        <v>0</v>
      </c>
      <c r="E192" s="234">
        <f t="shared" ref="E192:F194" si="18">E189/D189-1</f>
        <v>0</v>
      </c>
      <c r="F192" s="234">
        <f t="shared" si="18"/>
        <v>0</v>
      </c>
    </row>
    <row r="193" spans="2:6" ht="15.75" thickBot="1" x14ac:dyDescent="0.3">
      <c r="B193" s="229" t="s">
        <v>24</v>
      </c>
      <c r="C193" s="642"/>
      <c r="D193" s="234" t="e">
        <f>D190/C190-1</f>
        <v>#DIV/0!</v>
      </c>
      <c r="E193" s="234" t="e">
        <f t="shared" si="18"/>
        <v>#DIV/0!</v>
      </c>
      <c r="F193" s="234" t="e">
        <f t="shared" si="18"/>
        <v>#DIV/0!</v>
      </c>
    </row>
    <row r="194" spans="2:6" ht="15.75" thickBot="1" x14ac:dyDescent="0.3">
      <c r="B194" s="229" t="s">
        <v>25</v>
      </c>
      <c r="C194" s="642"/>
      <c r="D194" s="234" t="e">
        <f>D191/C191-1</f>
        <v>#DIV/0!</v>
      </c>
      <c r="E194" s="234" t="e">
        <f t="shared" si="18"/>
        <v>#DIV/0!</v>
      </c>
      <c r="F194" s="234" t="e">
        <f t="shared" si="18"/>
        <v>#DIV/0!</v>
      </c>
    </row>
    <row r="195" spans="2:6" ht="15.75" thickBot="1" x14ac:dyDescent="0.3">
      <c r="B195" s="1203" t="s">
        <v>793</v>
      </c>
      <c r="C195" s="1204"/>
      <c r="D195" s="1204"/>
      <c r="E195" s="1204"/>
      <c r="F195" s="1205"/>
    </row>
    <row r="196" spans="2:6" x14ac:dyDescent="0.25">
      <c r="B196" s="1206"/>
      <c r="C196" s="231">
        <v>2018</v>
      </c>
      <c r="D196" s="231">
        <v>2019</v>
      </c>
      <c r="E196" s="231">
        <v>2020</v>
      </c>
      <c r="F196" s="231">
        <v>2021</v>
      </c>
    </row>
    <row r="197" spans="2:6" ht="15.75" thickBot="1" x14ac:dyDescent="0.3">
      <c r="B197" s="1207"/>
      <c r="C197" s="232" t="s">
        <v>10</v>
      </c>
      <c r="D197" s="232" t="s">
        <v>11</v>
      </c>
      <c r="E197" s="232" t="s">
        <v>11</v>
      </c>
      <c r="F197" s="232" t="s">
        <v>11</v>
      </c>
    </row>
    <row r="198" spans="2:6" ht="15.75" thickBot="1" x14ac:dyDescent="0.3">
      <c r="B198" s="235" t="s">
        <v>26</v>
      </c>
      <c r="C198" s="236"/>
      <c r="D198" s="236"/>
      <c r="E198" s="236"/>
      <c r="F198" s="236"/>
    </row>
    <row r="199" spans="2:6" ht="15.75" thickBot="1" x14ac:dyDescent="0.3">
      <c r="B199" s="235" t="s">
        <v>28</v>
      </c>
      <c r="C199" s="236"/>
      <c r="D199" s="236"/>
      <c r="E199" s="236"/>
      <c r="F199" s="236"/>
    </row>
    <row r="200" spans="2:6" ht="15.75" thickBot="1" x14ac:dyDescent="0.3">
      <c r="B200" s="235" t="s">
        <v>30</v>
      </c>
      <c r="C200" s="201">
        <v>0</v>
      </c>
      <c r="D200" s="236">
        <v>0</v>
      </c>
      <c r="E200" s="236">
        <v>0</v>
      </c>
      <c r="F200" s="236">
        <v>0</v>
      </c>
    </row>
    <row r="201" spans="2:6" ht="15.75" thickBot="1" x14ac:dyDescent="0.3">
      <c r="B201" s="235" t="s">
        <v>32</v>
      </c>
      <c r="C201" s="201"/>
      <c r="D201" s="236"/>
      <c r="E201" s="236"/>
      <c r="F201" s="236"/>
    </row>
    <row r="202" spans="2:6" ht="15.75" thickBot="1" x14ac:dyDescent="0.3">
      <c r="B202" s="235" t="s">
        <v>34</v>
      </c>
      <c r="C202" s="201"/>
      <c r="D202" s="236"/>
      <c r="E202" s="236"/>
      <c r="F202" s="236"/>
    </row>
    <row r="203" spans="2:6" ht="15.75" thickBot="1" x14ac:dyDescent="0.3">
      <c r="B203" s="235" t="s">
        <v>36</v>
      </c>
      <c r="C203" s="201"/>
      <c r="D203" s="236"/>
      <c r="E203" s="236"/>
      <c r="F203" s="236"/>
    </row>
    <row r="204" spans="2:6" ht="15.75" thickBot="1" x14ac:dyDescent="0.3">
      <c r="B204" s="65" t="s">
        <v>38</v>
      </c>
      <c r="C204" s="165"/>
      <c r="D204" s="164"/>
      <c r="E204" s="164"/>
      <c r="F204" s="164"/>
    </row>
    <row r="205" spans="2:6" ht="30.75" thickBot="1" x14ac:dyDescent="0.3">
      <c r="B205" s="204" t="s">
        <v>71</v>
      </c>
      <c r="C205" s="219">
        <f>C204+C202+C203+C201+C200+C199+C198</f>
        <v>0</v>
      </c>
      <c r="D205" s="219">
        <f>D204+D202+D203+D201+D200+D199+D198</f>
        <v>0</v>
      </c>
      <c r="E205" s="219">
        <f>E204+E202+E203+E201+E200+E199+E198</f>
        <v>0</v>
      </c>
      <c r="F205" s="219">
        <f>F204+F202+F203+F201+F200+F199+F198</f>
        <v>0</v>
      </c>
    </row>
    <row r="206" spans="2:6" ht="15.75" thickBot="1" x14ac:dyDescent="0.3">
      <c r="B206" s="166" t="s">
        <v>41</v>
      </c>
      <c r="C206" s="167">
        <f>IF(C205-C190=0,0,"Error")</f>
        <v>0</v>
      </c>
      <c r="D206" s="167">
        <f>IF(D205-D190=0,0,"Error")</f>
        <v>0</v>
      </c>
      <c r="E206" s="167">
        <f>IF(E205-E190=0,0,"Error")</f>
        <v>0</v>
      </c>
      <c r="F206" s="167">
        <f>IF(F205-F190=0,0,"Error")</f>
        <v>0</v>
      </c>
    </row>
    <row r="207" spans="2:6" ht="15.75" thickBot="1" x14ac:dyDescent="0.3">
      <c r="B207" s="989" t="s">
        <v>63</v>
      </c>
      <c r="C207" s="990"/>
      <c r="D207" s="990"/>
      <c r="E207" s="990"/>
      <c r="F207" s="991"/>
    </row>
    <row r="208" spans="2:6" ht="15.75" thickBot="1" x14ac:dyDescent="0.3">
      <c r="B208" s="989" t="s">
        <v>56</v>
      </c>
      <c r="C208" s="990"/>
      <c r="D208" s="990"/>
      <c r="E208" s="990"/>
      <c r="F208" s="991"/>
    </row>
    <row r="209" spans="2:6" ht="15.75" thickBot="1" x14ac:dyDescent="0.3">
      <c r="B209" s="67" t="s">
        <v>61</v>
      </c>
      <c r="C209" s="1009" t="s">
        <v>130</v>
      </c>
      <c r="D209" s="1010"/>
      <c r="E209" s="1010"/>
      <c r="F209" s="1011"/>
    </row>
    <row r="210" spans="2:6" ht="15.75" thickBot="1" x14ac:dyDescent="0.3">
      <c r="B210" s="160" t="s">
        <v>16</v>
      </c>
      <c r="C210" s="992" t="s">
        <v>106</v>
      </c>
      <c r="D210" s="993"/>
      <c r="E210" s="993"/>
      <c r="F210" s="994"/>
    </row>
    <row r="211" spans="2:6" ht="15.75" thickBot="1" x14ac:dyDescent="0.3">
      <c r="B211" s="62" t="s">
        <v>17</v>
      </c>
      <c r="C211" s="983" t="s">
        <v>106</v>
      </c>
      <c r="D211" s="984"/>
      <c r="E211" s="984"/>
      <c r="F211" s="985"/>
    </row>
    <row r="212" spans="2:6" ht="15.75" thickBot="1" x14ac:dyDescent="0.3">
      <c r="B212" s="62" t="s">
        <v>18</v>
      </c>
      <c r="C212" s="995" t="s">
        <v>106</v>
      </c>
      <c r="D212" s="996"/>
      <c r="E212" s="996"/>
      <c r="F212" s="997"/>
    </row>
    <row r="213" spans="2:6" x14ac:dyDescent="0.25">
      <c r="B213" s="998"/>
      <c r="C213" s="63">
        <v>2018</v>
      </c>
      <c r="D213" s="63">
        <v>2019</v>
      </c>
      <c r="E213" s="63">
        <v>2020</v>
      </c>
      <c r="F213" s="63">
        <v>2021</v>
      </c>
    </row>
    <row r="214" spans="2:6" ht="15.75" thickBot="1" x14ac:dyDescent="0.3">
      <c r="B214" s="999"/>
      <c r="C214" s="64" t="s">
        <v>10</v>
      </c>
      <c r="D214" s="64" t="s">
        <v>11</v>
      </c>
      <c r="E214" s="64" t="s">
        <v>11</v>
      </c>
      <c r="F214" s="64" t="s">
        <v>11</v>
      </c>
    </row>
    <row r="215" spans="2:6" ht="15.75" thickBot="1" x14ac:dyDescent="0.3">
      <c r="B215" s="62" t="s">
        <v>19</v>
      </c>
      <c r="C215" s="161"/>
      <c r="D215" s="161"/>
      <c r="E215" s="161"/>
      <c r="F215" s="161"/>
    </row>
    <row r="216" spans="2:6" ht="15.75" thickBot="1" x14ac:dyDescent="0.3">
      <c r="B216" s="62" t="s">
        <v>20</v>
      </c>
      <c r="C216" s="161"/>
      <c r="D216" s="161"/>
      <c r="E216" s="161"/>
      <c r="F216" s="161"/>
    </row>
    <row r="217" spans="2:6" ht="15.75" thickBot="1" x14ac:dyDescent="0.3">
      <c r="B217" s="62" t="s">
        <v>21</v>
      </c>
      <c r="C217" s="161" t="e">
        <f>C216/C215</f>
        <v>#DIV/0!</v>
      </c>
      <c r="D217" s="161" t="e">
        <f t="shared" ref="D217:F217" si="19">D216/D215</f>
        <v>#DIV/0!</v>
      </c>
      <c r="E217" s="161" t="e">
        <f t="shared" si="19"/>
        <v>#DIV/0!</v>
      </c>
      <c r="F217" s="161" t="e">
        <f t="shared" si="19"/>
        <v>#DIV/0!</v>
      </c>
    </row>
    <row r="218" spans="2:6" ht="15.75" thickBot="1" x14ac:dyDescent="0.3">
      <c r="B218" s="62" t="s">
        <v>22</v>
      </c>
      <c r="C218" s="636" t="s">
        <v>23</v>
      </c>
      <c r="D218" s="162" t="e">
        <f>D215/C215-1</f>
        <v>#DIV/0!</v>
      </c>
      <c r="E218" s="162" t="e">
        <f t="shared" ref="E218:F220" si="20">E215/D215-1</f>
        <v>#DIV/0!</v>
      </c>
      <c r="F218" s="162" t="e">
        <f t="shared" si="20"/>
        <v>#DIV/0!</v>
      </c>
    </row>
    <row r="219" spans="2:6" ht="15.75" thickBot="1" x14ac:dyDescent="0.3">
      <c r="B219" s="62" t="s">
        <v>24</v>
      </c>
      <c r="C219" s="636" t="s">
        <v>23</v>
      </c>
      <c r="D219" s="162" t="e">
        <f>D216/C216-1</f>
        <v>#DIV/0!</v>
      </c>
      <c r="E219" s="162" t="e">
        <f t="shared" si="20"/>
        <v>#DIV/0!</v>
      </c>
      <c r="F219" s="162" t="e">
        <f t="shared" si="20"/>
        <v>#DIV/0!</v>
      </c>
    </row>
    <row r="220" spans="2:6" ht="15.75" thickBot="1" x14ac:dyDescent="0.3">
      <c r="B220" s="62" t="s">
        <v>25</v>
      </c>
      <c r="C220" s="636" t="s">
        <v>23</v>
      </c>
      <c r="D220" s="162" t="e">
        <f>D217/C217-1</f>
        <v>#DIV/0!</v>
      </c>
      <c r="E220" s="162" t="e">
        <f t="shared" si="20"/>
        <v>#DIV/0!</v>
      </c>
      <c r="F220" s="162" t="e">
        <f t="shared" si="20"/>
        <v>#DIV/0!</v>
      </c>
    </row>
    <row r="221" spans="2:6" ht="15.75" thickBot="1" x14ac:dyDescent="0.3">
      <c r="B221" s="1000" t="s">
        <v>784</v>
      </c>
      <c r="C221" s="1001"/>
      <c r="D221" s="1001"/>
      <c r="E221" s="1001"/>
      <c r="F221" s="1002"/>
    </row>
    <row r="222" spans="2:6" x14ac:dyDescent="0.25">
      <c r="B222" s="998"/>
      <c r="C222" s="63">
        <v>2018</v>
      </c>
      <c r="D222" s="63">
        <v>2019</v>
      </c>
      <c r="E222" s="63">
        <v>2020</v>
      </c>
      <c r="F222" s="63">
        <v>2021</v>
      </c>
    </row>
    <row r="223" spans="2:6" ht="15.75" thickBot="1" x14ac:dyDescent="0.3">
      <c r="B223" s="999"/>
      <c r="C223" s="64" t="s">
        <v>10</v>
      </c>
      <c r="D223" s="64" t="s">
        <v>11</v>
      </c>
      <c r="E223" s="64" t="s">
        <v>11</v>
      </c>
      <c r="F223" s="64" t="s">
        <v>11</v>
      </c>
    </row>
    <row r="224" spans="2:6" ht="15.75" thickBot="1" x14ac:dyDescent="0.3">
      <c r="B224" s="65" t="s">
        <v>58</v>
      </c>
      <c r="C224" s="164"/>
      <c r="D224" s="164"/>
      <c r="E224" s="164"/>
      <c r="F224" s="164"/>
    </row>
    <row r="225" spans="2:6" ht="15.75" thickBot="1" x14ac:dyDescent="0.3">
      <c r="B225" s="65" t="s">
        <v>59</v>
      </c>
      <c r="C225" s="165"/>
      <c r="D225" s="164"/>
      <c r="E225" s="164"/>
      <c r="F225" s="164"/>
    </row>
    <row r="226" spans="2:6" ht="15.75" thickBot="1" x14ac:dyDescent="0.3">
      <c r="B226" s="66" t="s">
        <v>40</v>
      </c>
      <c r="C226" s="165">
        <f>C225+C224</f>
        <v>0</v>
      </c>
      <c r="D226" s="165">
        <f t="shared" ref="D226:F226" si="21">D225+D224</f>
        <v>0</v>
      </c>
      <c r="E226" s="165">
        <f t="shared" si="21"/>
        <v>0</v>
      </c>
      <c r="F226" s="165">
        <f t="shared" si="21"/>
        <v>0</v>
      </c>
    </row>
    <row r="227" spans="2:6" ht="15.75" thickBot="1" x14ac:dyDescent="0.3">
      <c r="B227" s="67" t="s">
        <v>61</v>
      </c>
      <c r="C227" s="1009" t="s">
        <v>130</v>
      </c>
      <c r="D227" s="1010"/>
      <c r="E227" s="1010"/>
      <c r="F227" s="1011"/>
    </row>
    <row r="228" spans="2:6" ht="15.75" thickBot="1" x14ac:dyDescent="0.3">
      <c r="B228" s="160" t="s">
        <v>129</v>
      </c>
      <c r="C228" s="992" t="s">
        <v>106</v>
      </c>
      <c r="D228" s="993"/>
      <c r="E228" s="993"/>
      <c r="F228" s="994"/>
    </row>
    <row r="229" spans="2:6" ht="15.75" thickBot="1" x14ac:dyDescent="0.3">
      <c r="B229" s="62" t="s">
        <v>17</v>
      </c>
      <c r="C229" s="983" t="s">
        <v>106</v>
      </c>
      <c r="D229" s="984"/>
      <c r="E229" s="984"/>
      <c r="F229" s="985"/>
    </row>
    <row r="230" spans="2:6" ht="15.75" thickBot="1" x14ac:dyDescent="0.3">
      <c r="B230" s="62" t="s">
        <v>18</v>
      </c>
      <c r="C230" s="995" t="s">
        <v>106</v>
      </c>
      <c r="D230" s="996"/>
      <c r="E230" s="996"/>
      <c r="F230" s="997"/>
    </row>
    <row r="231" spans="2:6" x14ac:dyDescent="0.25">
      <c r="B231" s="998"/>
      <c r="C231" s="63">
        <v>2018</v>
      </c>
      <c r="D231" s="63">
        <v>2019</v>
      </c>
      <c r="E231" s="63">
        <v>2020</v>
      </c>
      <c r="F231" s="63">
        <v>2021</v>
      </c>
    </row>
    <row r="232" spans="2:6" ht="15.75" thickBot="1" x14ac:dyDescent="0.3">
      <c r="B232" s="999"/>
      <c r="C232" s="64" t="s">
        <v>10</v>
      </c>
      <c r="D232" s="64" t="s">
        <v>11</v>
      </c>
      <c r="E232" s="64" t="s">
        <v>11</v>
      </c>
      <c r="F232" s="64" t="s">
        <v>11</v>
      </c>
    </row>
    <row r="233" spans="2:6" ht="15.75" thickBot="1" x14ac:dyDescent="0.3">
      <c r="B233" s="62" t="s">
        <v>19</v>
      </c>
      <c r="C233" s="161"/>
      <c r="D233" s="161"/>
      <c r="E233" s="161"/>
      <c r="F233" s="161"/>
    </row>
    <row r="234" spans="2:6" ht="15.75" thickBot="1" x14ac:dyDescent="0.3">
      <c r="B234" s="62" t="s">
        <v>20</v>
      </c>
      <c r="C234" s="161"/>
      <c r="D234" s="161"/>
      <c r="E234" s="161"/>
      <c r="F234" s="161"/>
    </row>
    <row r="235" spans="2:6" ht="15.75" thickBot="1" x14ac:dyDescent="0.3">
      <c r="B235" s="62" t="s">
        <v>21</v>
      </c>
      <c r="C235" s="161" t="e">
        <f>C234/C233</f>
        <v>#DIV/0!</v>
      </c>
      <c r="D235" s="161" t="e">
        <f t="shared" ref="D235:F235" si="22">D234/D233</f>
        <v>#DIV/0!</v>
      </c>
      <c r="E235" s="161" t="e">
        <f t="shared" si="22"/>
        <v>#DIV/0!</v>
      </c>
      <c r="F235" s="161" t="e">
        <f t="shared" si="22"/>
        <v>#DIV/0!</v>
      </c>
    </row>
    <row r="236" spans="2:6" ht="15.75" thickBot="1" x14ac:dyDescent="0.3">
      <c r="B236" s="62" t="s">
        <v>22</v>
      </c>
      <c r="C236" s="636" t="s">
        <v>23</v>
      </c>
      <c r="D236" s="162" t="e">
        <f>D233/C233-1</f>
        <v>#DIV/0!</v>
      </c>
      <c r="E236" s="162" t="e">
        <f t="shared" ref="E236:F238" si="23">E233/D233-1</f>
        <v>#DIV/0!</v>
      </c>
      <c r="F236" s="162" t="e">
        <f t="shared" si="23"/>
        <v>#DIV/0!</v>
      </c>
    </row>
    <row r="237" spans="2:6" ht="15.75" thickBot="1" x14ac:dyDescent="0.3">
      <c r="B237" s="62" t="s">
        <v>24</v>
      </c>
      <c r="C237" s="636" t="s">
        <v>23</v>
      </c>
      <c r="D237" s="162" t="e">
        <f>D234/C234-1</f>
        <v>#DIV/0!</v>
      </c>
      <c r="E237" s="162" t="e">
        <f t="shared" si="23"/>
        <v>#DIV/0!</v>
      </c>
      <c r="F237" s="162" t="e">
        <f t="shared" si="23"/>
        <v>#DIV/0!</v>
      </c>
    </row>
    <row r="238" spans="2:6" ht="15.75" thickBot="1" x14ac:dyDescent="0.3">
      <c r="B238" s="62" t="s">
        <v>25</v>
      </c>
      <c r="C238" s="636" t="s">
        <v>23</v>
      </c>
      <c r="D238" s="162" t="e">
        <f>D235/C235-1</f>
        <v>#DIV/0!</v>
      </c>
      <c r="E238" s="162" t="e">
        <f t="shared" si="23"/>
        <v>#DIV/0!</v>
      </c>
      <c r="F238" s="162" t="e">
        <f t="shared" si="23"/>
        <v>#DIV/0!</v>
      </c>
    </row>
    <row r="239" spans="2:6" ht="15.75" thickBot="1" x14ac:dyDescent="0.3">
      <c r="B239" s="1000" t="s">
        <v>793</v>
      </c>
      <c r="C239" s="1001"/>
      <c r="D239" s="1001"/>
      <c r="E239" s="1001"/>
      <c r="F239" s="1002"/>
    </row>
    <row r="240" spans="2:6" x14ac:dyDescent="0.25">
      <c r="B240" s="998"/>
      <c r="C240" s="63">
        <v>2018</v>
      </c>
      <c r="D240" s="63">
        <v>2019</v>
      </c>
      <c r="E240" s="63">
        <v>2020</v>
      </c>
      <c r="F240" s="63">
        <v>2021</v>
      </c>
    </row>
    <row r="241" spans="2:6" ht="15.75" thickBot="1" x14ac:dyDescent="0.3">
      <c r="B241" s="999"/>
      <c r="C241" s="64" t="s">
        <v>10</v>
      </c>
      <c r="D241" s="64" t="s">
        <v>11</v>
      </c>
      <c r="E241" s="64" t="s">
        <v>11</v>
      </c>
      <c r="F241" s="64" t="s">
        <v>11</v>
      </c>
    </row>
    <row r="242" spans="2:6" ht="15.75" thickBot="1" x14ac:dyDescent="0.3">
      <c r="B242" s="65" t="s">
        <v>58</v>
      </c>
      <c r="C242" s="164"/>
      <c r="D242" s="164"/>
      <c r="E242" s="164"/>
      <c r="F242" s="164"/>
    </row>
    <row r="243" spans="2:6" ht="15.75" thickBot="1" x14ac:dyDescent="0.3">
      <c r="B243" s="65" t="s">
        <v>59</v>
      </c>
      <c r="C243" s="165"/>
      <c r="D243" s="164"/>
      <c r="E243" s="164"/>
      <c r="F243" s="164"/>
    </row>
    <row r="244" spans="2:6" ht="15.75" thickBot="1" x14ac:dyDescent="0.3">
      <c r="B244" s="66" t="s">
        <v>74</v>
      </c>
      <c r="C244" s="165">
        <f>C243+C242</f>
        <v>0</v>
      </c>
      <c r="D244" s="165">
        <f t="shared" ref="D244:F244" si="24">D243+D242</f>
        <v>0</v>
      </c>
      <c r="E244" s="165">
        <f t="shared" si="24"/>
        <v>0</v>
      </c>
      <c r="F244" s="165">
        <f t="shared" si="24"/>
        <v>0</v>
      </c>
    </row>
    <row r="245" spans="2:6" ht="15.75" thickBot="1" x14ac:dyDescent="0.3">
      <c r="B245" s="989" t="s">
        <v>63</v>
      </c>
      <c r="C245" s="990"/>
      <c r="D245" s="990"/>
      <c r="E245" s="990"/>
      <c r="F245" s="991"/>
    </row>
    <row r="246" spans="2:6" ht="15.75" thickBot="1" x14ac:dyDescent="0.3">
      <c r="B246" s="989" t="s">
        <v>64</v>
      </c>
      <c r="C246" s="990"/>
      <c r="D246" s="990"/>
      <c r="E246" s="990"/>
      <c r="F246" s="991"/>
    </row>
    <row r="247" spans="2:6" ht="15.75" thickBot="1" x14ac:dyDescent="0.3">
      <c r="B247" s="67" t="s">
        <v>61</v>
      </c>
      <c r="C247" s="1009" t="s">
        <v>130</v>
      </c>
      <c r="D247" s="1010"/>
      <c r="E247" s="1010"/>
      <c r="F247" s="1011"/>
    </row>
    <row r="248" spans="2:6" ht="15.75" thickBot="1" x14ac:dyDescent="0.3">
      <c r="B248" s="160" t="s">
        <v>16</v>
      </c>
      <c r="C248" s="992" t="s">
        <v>106</v>
      </c>
      <c r="D248" s="993"/>
      <c r="E248" s="993"/>
      <c r="F248" s="994"/>
    </row>
    <row r="249" spans="2:6" ht="15.75" thickBot="1" x14ac:dyDescent="0.3">
      <c r="B249" s="62" t="s">
        <v>17</v>
      </c>
      <c r="C249" s="983" t="s">
        <v>106</v>
      </c>
      <c r="D249" s="984"/>
      <c r="E249" s="984"/>
      <c r="F249" s="985"/>
    </row>
    <row r="250" spans="2:6" ht="15.75" thickBot="1" x14ac:dyDescent="0.3">
      <c r="B250" s="62" t="s">
        <v>18</v>
      </c>
      <c r="C250" s="995" t="s">
        <v>106</v>
      </c>
      <c r="D250" s="996"/>
      <c r="E250" s="996"/>
      <c r="F250" s="997"/>
    </row>
    <row r="251" spans="2:6" x14ac:dyDescent="0.25">
      <c r="B251" s="998"/>
      <c r="C251" s="63">
        <v>2018</v>
      </c>
      <c r="D251" s="63">
        <v>2019</v>
      </c>
      <c r="E251" s="63">
        <v>2020</v>
      </c>
      <c r="F251" s="63">
        <v>2021</v>
      </c>
    </row>
    <row r="252" spans="2:6" ht="15.75" thickBot="1" x14ac:dyDescent="0.3">
      <c r="B252" s="999"/>
      <c r="C252" s="64" t="s">
        <v>10</v>
      </c>
      <c r="D252" s="64" t="s">
        <v>11</v>
      </c>
      <c r="E252" s="64" t="s">
        <v>11</v>
      </c>
      <c r="F252" s="64" t="s">
        <v>11</v>
      </c>
    </row>
    <row r="253" spans="2:6" ht="15.75" thickBot="1" x14ac:dyDescent="0.3">
      <c r="B253" s="62" t="s">
        <v>19</v>
      </c>
      <c r="C253" s="161"/>
      <c r="D253" s="161"/>
      <c r="E253" s="161"/>
      <c r="F253" s="161"/>
    </row>
    <row r="254" spans="2:6" ht="15.75" thickBot="1" x14ac:dyDescent="0.3">
      <c r="B254" s="62" t="s">
        <v>20</v>
      </c>
      <c r="C254" s="161"/>
      <c r="D254" s="161"/>
      <c r="E254" s="161"/>
      <c r="F254" s="161"/>
    </row>
    <row r="255" spans="2:6" ht="15.75" thickBot="1" x14ac:dyDescent="0.3">
      <c r="B255" s="62" t="s">
        <v>21</v>
      </c>
      <c r="C255" s="161" t="e">
        <f>C254/C253</f>
        <v>#DIV/0!</v>
      </c>
      <c r="D255" s="161" t="e">
        <f t="shared" ref="D255:F255" si="25">D254/D253</f>
        <v>#DIV/0!</v>
      </c>
      <c r="E255" s="161" t="e">
        <f t="shared" si="25"/>
        <v>#DIV/0!</v>
      </c>
      <c r="F255" s="161" t="e">
        <f t="shared" si="25"/>
        <v>#DIV/0!</v>
      </c>
    </row>
    <row r="256" spans="2:6" ht="15.75" thickBot="1" x14ac:dyDescent="0.3">
      <c r="B256" s="62" t="s">
        <v>22</v>
      </c>
      <c r="C256" s="636" t="s">
        <v>23</v>
      </c>
      <c r="D256" s="162" t="e">
        <f>D253/C253-1</f>
        <v>#DIV/0!</v>
      </c>
      <c r="E256" s="162" t="e">
        <f t="shared" ref="E256:F258" si="26">E253/D253-1</f>
        <v>#DIV/0!</v>
      </c>
      <c r="F256" s="162" t="e">
        <f t="shared" si="26"/>
        <v>#DIV/0!</v>
      </c>
    </row>
    <row r="257" spans="2:6" ht="15.75" thickBot="1" x14ac:dyDescent="0.3">
      <c r="B257" s="62" t="s">
        <v>24</v>
      </c>
      <c r="C257" s="636" t="s">
        <v>23</v>
      </c>
      <c r="D257" s="162" t="e">
        <f>D254/C254-1</f>
        <v>#DIV/0!</v>
      </c>
      <c r="E257" s="162" t="e">
        <f t="shared" si="26"/>
        <v>#DIV/0!</v>
      </c>
      <c r="F257" s="162" t="e">
        <f t="shared" si="26"/>
        <v>#DIV/0!</v>
      </c>
    </row>
    <row r="258" spans="2:6" ht="15.75" thickBot="1" x14ac:dyDescent="0.3">
      <c r="B258" s="62" t="s">
        <v>25</v>
      </c>
      <c r="C258" s="636" t="s">
        <v>23</v>
      </c>
      <c r="D258" s="162" t="e">
        <f>D255/C255-1</f>
        <v>#DIV/0!</v>
      </c>
      <c r="E258" s="162" t="e">
        <f t="shared" si="26"/>
        <v>#DIV/0!</v>
      </c>
      <c r="F258" s="162" t="e">
        <f t="shared" si="26"/>
        <v>#DIV/0!</v>
      </c>
    </row>
    <row r="259" spans="2:6" ht="15.75" thickBot="1" x14ac:dyDescent="0.3">
      <c r="B259" s="1000" t="s">
        <v>784</v>
      </c>
      <c r="C259" s="1001"/>
      <c r="D259" s="1001"/>
      <c r="E259" s="1001"/>
      <c r="F259" s="1002"/>
    </row>
    <row r="260" spans="2:6" x14ac:dyDescent="0.25">
      <c r="B260" s="998"/>
      <c r="C260" s="63">
        <v>2018</v>
      </c>
      <c r="D260" s="63">
        <v>2019</v>
      </c>
      <c r="E260" s="63">
        <v>2020</v>
      </c>
      <c r="F260" s="63">
        <v>2021</v>
      </c>
    </row>
    <row r="261" spans="2:6" ht="15.75" thickBot="1" x14ac:dyDescent="0.3">
      <c r="B261" s="999"/>
      <c r="C261" s="64" t="s">
        <v>10</v>
      </c>
      <c r="D261" s="64" t="s">
        <v>11</v>
      </c>
      <c r="E261" s="64" t="s">
        <v>11</v>
      </c>
      <c r="F261" s="64" t="s">
        <v>11</v>
      </c>
    </row>
    <row r="262" spans="2:6" ht="15.75" thickBot="1" x14ac:dyDescent="0.3">
      <c r="B262" s="65" t="s">
        <v>58</v>
      </c>
      <c r="C262" s="164"/>
      <c r="D262" s="164"/>
      <c r="E262" s="164"/>
      <c r="F262" s="164"/>
    </row>
    <row r="263" spans="2:6" ht="15.75" thickBot="1" x14ac:dyDescent="0.3">
      <c r="B263" s="65" t="s">
        <v>59</v>
      </c>
      <c r="C263" s="165"/>
      <c r="D263" s="164"/>
      <c r="E263" s="164"/>
      <c r="F263" s="164"/>
    </row>
    <row r="264" spans="2:6" ht="15.75" thickBot="1" x14ac:dyDescent="0.3">
      <c r="B264" s="66" t="s">
        <v>40</v>
      </c>
      <c r="C264" s="165">
        <f>C263+C262</f>
        <v>0</v>
      </c>
      <c r="D264" s="165">
        <f t="shared" ref="D264:F264" si="27">D263+D262</f>
        <v>0</v>
      </c>
      <c r="E264" s="165">
        <f t="shared" si="27"/>
        <v>0</v>
      </c>
      <c r="F264" s="165">
        <f t="shared" si="27"/>
        <v>0</v>
      </c>
    </row>
    <row r="265" spans="2:6" ht="15.75" thickBot="1" x14ac:dyDescent="0.3">
      <c r="B265" s="67" t="s">
        <v>61</v>
      </c>
      <c r="C265" s="1009" t="s">
        <v>130</v>
      </c>
      <c r="D265" s="1010"/>
      <c r="E265" s="1010"/>
      <c r="F265" s="1011"/>
    </row>
    <row r="266" spans="2:6" ht="15.75" thickBot="1" x14ac:dyDescent="0.3">
      <c r="B266" s="160" t="s">
        <v>129</v>
      </c>
      <c r="C266" s="992" t="s">
        <v>106</v>
      </c>
      <c r="D266" s="993"/>
      <c r="E266" s="993"/>
      <c r="F266" s="994"/>
    </row>
    <row r="267" spans="2:6" ht="15.75" thickBot="1" x14ac:dyDescent="0.3">
      <c r="B267" s="62" t="s">
        <v>17</v>
      </c>
      <c r="C267" s="983" t="s">
        <v>106</v>
      </c>
      <c r="D267" s="984"/>
      <c r="E267" s="984"/>
      <c r="F267" s="985"/>
    </row>
    <row r="268" spans="2:6" ht="15.75" thickBot="1" x14ac:dyDescent="0.3">
      <c r="B268" s="62" t="s">
        <v>18</v>
      </c>
      <c r="C268" s="995" t="s">
        <v>106</v>
      </c>
      <c r="D268" s="996"/>
      <c r="E268" s="996"/>
      <c r="F268" s="997"/>
    </row>
    <row r="269" spans="2:6" x14ac:dyDescent="0.25">
      <c r="B269" s="998"/>
      <c r="C269" s="63">
        <v>2018</v>
      </c>
      <c r="D269" s="63">
        <v>2019</v>
      </c>
      <c r="E269" s="63">
        <v>2020</v>
      </c>
      <c r="F269" s="63">
        <v>2021</v>
      </c>
    </row>
    <row r="270" spans="2:6" ht="15.75" thickBot="1" x14ac:dyDescent="0.3">
      <c r="B270" s="999"/>
      <c r="C270" s="64" t="s">
        <v>10</v>
      </c>
      <c r="D270" s="64" t="s">
        <v>11</v>
      </c>
      <c r="E270" s="64" t="s">
        <v>11</v>
      </c>
      <c r="F270" s="64" t="s">
        <v>11</v>
      </c>
    </row>
    <row r="271" spans="2:6" ht="15.75" thickBot="1" x14ac:dyDescent="0.3">
      <c r="B271" s="62" t="s">
        <v>19</v>
      </c>
      <c r="C271" s="161"/>
      <c r="D271" s="161"/>
      <c r="E271" s="161"/>
      <c r="F271" s="161"/>
    </row>
    <row r="272" spans="2:6" ht="15.75" thickBot="1" x14ac:dyDescent="0.3">
      <c r="B272" s="62" t="s">
        <v>20</v>
      </c>
      <c r="C272" s="161"/>
      <c r="D272" s="161"/>
      <c r="E272" s="161"/>
      <c r="F272" s="161"/>
    </row>
    <row r="273" spans="2:6" ht="15.75" thickBot="1" x14ac:dyDescent="0.3">
      <c r="B273" s="62" t="s">
        <v>21</v>
      </c>
      <c r="C273" s="161" t="e">
        <f>C272/C271</f>
        <v>#DIV/0!</v>
      </c>
      <c r="D273" s="161" t="e">
        <f t="shared" ref="D273:F273" si="28">D272/D271</f>
        <v>#DIV/0!</v>
      </c>
      <c r="E273" s="161" t="e">
        <f t="shared" si="28"/>
        <v>#DIV/0!</v>
      </c>
      <c r="F273" s="161" t="e">
        <f t="shared" si="28"/>
        <v>#DIV/0!</v>
      </c>
    </row>
    <row r="274" spans="2:6" ht="15.75" thickBot="1" x14ac:dyDescent="0.3">
      <c r="B274" s="62" t="s">
        <v>22</v>
      </c>
      <c r="C274" s="636" t="s">
        <v>23</v>
      </c>
      <c r="D274" s="162" t="e">
        <f>D271/C271-1</f>
        <v>#DIV/0!</v>
      </c>
      <c r="E274" s="162" t="e">
        <f t="shared" ref="E274:F276" si="29">E271/D271-1</f>
        <v>#DIV/0!</v>
      </c>
      <c r="F274" s="162" t="e">
        <f t="shared" si="29"/>
        <v>#DIV/0!</v>
      </c>
    </row>
    <row r="275" spans="2:6" ht="15.75" thickBot="1" x14ac:dyDescent="0.3">
      <c r="B275" s="62" t="s">
        <v>24</v>
      </c>
      <c r="C275" s="636" t="s">
        <v>23</v>
      </c>
      <c r="D275" s="162" t="e">
        <f>D272/C272-1</f>
        <v>#DIV/0!</v>
      </c>
      <c r="E275" s="162" t="e">
        <f t="shared" si="29"/>
        <v>#DIV/0!</v>
      </c>
      <c r="F275" s="162" t="e">
        <f t="shared" si="29"/>
        <v>#DIV/0!</v>
      </c>
    </row>
    <row r="276" spans="2:6" ht="15.75" thickBot="1" x14ac:dyDescent="0.3">
      <c r="B276" s="62" t="s">
        <v>25</v>
      </c>
      <c r="C276" s="636" t="s">
        <v>23</v>
      </c>
      <c r="D276" s="162" t="e">
        <f>D273/C273-1</f>
        <v>#DIV/0!</v>
      </c>
      <c r="E276" s="162" t="e">
        <f t="shared" si="29"/>
        <v>#DIV/0!</v>
      </c>
      <c r="F276" s="162" t="e">
        <f t="shared" si="29"/>
        <v>#DIV/0!</v>
      </c>
    </row>
    <row r="277" spans="2:6" ht="15.75" thickBot="1" x14ac:dyDescent="0.3">
      <c r="B277" s="1000" t="s">
        <v>793</v>
      </c>
      <c r="C277" s="1001"/>
      <c r="D277" s="1001"/>
      <c r="E277" s="1001"/>
      <c r="F277" s="1002"/>
    </row>
    <row r="278" spans="2:6" x14ac:dyDescent="0.25">
      <c r="B278" s="998"/>
      <c r="C278" s="63">
        <v>2018</v>
      </c>
      <c r="D278" s="63">
        <v>2019</v>
      </c>
      <c r="E278" s="63">
        <v>2020</v>
      </c>
      <c r="F278" s="63">
        <v>2021</v>
      </c>
    </row>
    <row r="279" spans="2:6" ht="15.75" thickBot="1" x14ac:dyDescent="0.3">
      <c r="B279" s="999"/>
      <c r="C279" s="64" t="s">
        <v>10</v>
      </c>
      <c r="D279" s="64" t="s">
        <v>11</v>
      </c>
      <c r="E279" s="64" t="s">
        <v>11</v>
      </c>
      <c r="F279" s="64" t="s">
        <v>11</v>
      </c>
    </row>
    <row r="280" spans="2:6" ht="15.75" thickBot="1" x14ac:dyDescent="0.3">
      <c r="B280" s="65" t="s">
        <v>58</v>
      </c>
      <c r="C280" s="164"/>
      <c r="D280" s="164"/>
      <c r="E280" s="164"/>
      <c r="F280" s="164"/>
    </row>
    <row r="281" spans="2:6" ht="15.75" thickBot="1" x14ac:dyDescent="0.3">
      <c r="B281" s="65" t="s">
        <v>59</v>
      </c>
      <c r="C281" s="165"/>
      <c r="D281" s="164"/>
      <c r="E281" s="164"/>
      <c r="F281" s="164"/>
    </row>
    <row r="282" spans="2:6" ht="15.75" thickBot="1" x14ac:dyDescent="0.3">
      <c r="B282" s="66" t="s">
        <v>74</v>
      </c>
      <c r="C282" s="165">
        <f>C281+C280</f>
        <v>0</v>
      </c>
      <c r="D282" s="165">
        <f t="shared" ref="D282:F282" si="30">D281+D280</f>
        <v>0</v>
      </c>
      <c r="E282" s="165">
        <f t="shared" si="30"/>
        <v>0</v>
      </c>
      <c r="F282" s="165">
        <f t="shared" si="30"/>
        <v>0</v>
      </c>
    </row>
    <row r="283" spans="2:6" ht="15.75" thickBot="1" x14ac:dyDescent="0.3">
      <c r="B283" s="175"/>
      <c r="C283" s="176"/>
      <c r="D283" s="176"/>
      <c r="E283" s="176"/>
      <c r="F283" s="176"/>
    </row>
    <row r="284" spans="2:6" ht="30.75" thickBot="1" x14ac:dyDescent="0.3">
      <c r="B284" s="158" t="s">
        <v>82</v>
      </c>
      <c r="C284" s="177">
        <f>C272+C254+C234+C216+C190+C165+C139+C121+C101+C80+C54+C31</f>
        <v>37880</v>
      </c>
      <c r="D284" s="177">
        <f>D272+D254+D234+D216+D190+D165+D139+D121+D101+D80+D54+D31</f>
        <v>34270</v>
      </c>
      <c r="E284" s="177">
        <f>E272+E254+E234+E216+E190+E165+E139+E121+E101+E80+E54+E31</f>
        <v>34672</v>
      </c>
      <c r="F284" s="177">
        <f>F272+F254+F234+F216+F190+F165+F139+F121+F101+F80+F54+F31</f>
        <v>35085</v>
      </c>
    </row>
    <row r="285" spans="2:6" ht="30.75" thickBot="1" x14ac:dyDescent="0.3">
      <c r="B285" s="158" t="s">
        <v>83</v>
      </c>
      <c r="C285" s="177">
        <f>C287+C289+C291+C293+C295+C297+C299+C301+C303</f>
        <v>37880</v>
      </c>
      <c r="D285" s="177">
        <f>D287+D289+D291+D293+D295+D297+D299+D301+D303</f>
        <v>34270</v>
      </c>
      <c r="E285" s="177">
        <f>E287+E289+E291+E293+E295+E297+E299+E301+E303</f>
        <v>34672</v>
      </c>
      <c r="F285" s="177">
        <f>F287+F289+F291+F293+F295+F297+F299+F301+F303</f>
        <v>35085</v>
      </c>
    </row>
    <row r="286" spans="2:6" ht="30.75" thickBot="1" x14ac:dyDescent="0.3">
      <c r="B286" s="178" t="s">
        <v>84</v>
      </c>
      <c r="C286" s="179"/>
      <c r="D286" s="180">
        <f>D285/C285-1</f>
        <v>-9.5300950369588189E-2</v>
      </c>
      <c r="E286" s="180">
        <f t="shared" ref="E286:F286" si="31">E285/D285-1</f>
        <v>1.1730376422526945E-2</v>
      </c>
      <c r="F286" s="180">
        <f t="shared" si="31"/>
        <v>1.1911628980156852E-2</v>
      </c>
    </row>
    <row r="287" spans="2:6" ht="15.75" thickBot="1" x14ac:dyDescent="0.3">
      <c r="B287" s="65" t="s">
        <v>26</v>
      </c>
      <c r="C287" s="164">
        <f>C198+C175+C62+C39</f>
        <v>18000</v>
      </c>
      <c r="D287" s="164">
        <f>D198+D175+D62+D39</f>
        <v>18000</v>
      </c>
      <c r="E287" s="164">
        <f>E198+E175+E62+E39</f>
        <v>18000</v>
      </c>
      <c r="F287" s="164">
        <f>F198+F175+F62+F39</f>
        <v>18000</v>
      </c>
    </row>
    <row r="288" spans="2:6" ht="15.75" thickBot="1" x14ac:dyDescent="0.3">
      <c r="B288" s="181" t="s">
        <v>85</v>
      </c>
      <c r="C288" s="165"/>
      <c r="D288" s="182">
        <f>D287/C287-1</f>
        <v>0</v>
      </c>
      <c r="E288" s="182">
        <f t="shared" ref="E288:F288" si="32">E287/D287-1</f>
        <v>0</v>
      </c>
      <c r="F288" s="182">
        <f t="shared" si="32"/>
        <v>0</v>
      </c>
    </row>
    <row r="289" spans="2:6" ht="15.75" thickBot="1" x14ac:dyDescent="0.3">
      <c r="B289" s="65" t="s">
        <v>28</v>
      </c>
      <c r="C289" s="164">
        <f>C199+C176+C63+C40</f>
        <v>2880</v>
      </c>
      <c r="D289" s="164">
        <f>D199+D176+D63+D40</f>
        <v>2880</v>
      </c>
      <c r="E289" s="164">
        <f>E199+E176+E63+E40</f>
        <v>2880</v>
      </c>
      <c r="F289" s="164">
        <f>F199+F176+F63+F40</f>
        <v>2880</v>
      </c>
    </row>
    <row r="290" spans="2:6" ht="30.75" thickBot="1" x14ac:dyDescent="0.3">
      <c r="B290" s="181" t="s">
        <v>86</v>
      </c>
      <c r="C290" s="165"/>
      <c r="D290" s="182">
        <f>D289/C289-1</f>
        <v>0</v>
      </c>
      <c r="E290" s="182">
        <f t="shared" ref="E290:F290" si="33">E289/D289-1</f>
        <v>0</v>
      </c>
      <c r="F290" s="182">
        <f t="shared" si="33"/>
        <v>0</v>
      </c>
    </row>
    <row r="291" spans="2:6" ht="15.75" thickBot="1" x14ac:dyDescent="0.3">
      <c r="B291" s="65" t="s">
        <v>30</v>
      </c>
      <c r="C291" s="164">
        <f>C200+C177+C64+C41</f>
        <v>13000</v>
      </c>
      <c r="D291" s="164">
        <f>D200+D177+D64+D41</f>
        <v>13390</v>
      </c>
      <c r="E291" s="164">
        <f>E200+E177+E64+E41</f>
        <v>13792</v>
      </c>
      <c r="F291" s="164">
        <f>F200+F177+F64+F41</f>
        <v>14205</v>
      </c>
    </row>
    <row r="292" spans="2:6" ht="15.75" thickBot="1" x14ac:dyDescent="0.3">
      <c r="B292" s="181" t="s">
        <v>87</v>
      </c>
      <c r="C292" s="165"/>
      <c r="D292" s="182">
        <f>D291/C291-1</f>
        <v>3.0000000000000027E-2</v>
      </c>
      <c r="E292" s="182">
        <f t="shared" ref="E292:F292" si="34">E291/D291-1</f>
        <v>3.0022404779686429E-2</v>
      </c>
      <c r="F292" s="182">
        <f t="shared" si="34"/>
        <v>2.9944895591647258E-2</v>
      </c>
    </row>
    <row r="293" spans="2:6" ht="15.75" thickBot="1" x14ac:dyDescent="0.3">
      <c r="B293" s="65" t="s">
        <v>32</v>
      </c>
      <c r="C293" s="164">
        <f>C201+C178+C65+C42</f>
        <v>0</v>
      </c>
      <c r="D293" s="164">
        <f>D201+D178+D65+D42</f>
        <v>0</v>
      </c>
      <c r="E293" s="164">
        <f>E201+E178+E65+E42</f>
        <v>0</v>
      </c>
      <c r="F293" s="164">
        <f>F201+F178+F65+F42</f>
        <v>0</v>
      </c>
    </row>
    <row r="294" spans="2:6" ht="15.75" thickBot="1" x14ac:dyDescent="0.3">
      <c r="B294" s="181" t="s">
        <v>88</v>
      </c>
      <c r="C294" s="165"/>
      <c r="D294" s="182" t="e">
        <f>D293/C293-1</f>
        <v>#DIV/0!</v>
      </c>
      <c r="E294" s="182" t="e">
        <f t="shared" ref="E294:F294" si="35">E293/D293-1</f>
        <v>#DIV/0!</v>
      </c>
      <c r="F294" s="182" t="e">
        <f t="shared" si="35"/>
        <v>#DIV/0!</v>
      </c>
    </row>
    <row r="295" spans="2:6" ht="15.75" thickBot="1" x14ac:dyDescent="0.3">
      <c r="B295" s="65" t="s">
        <v>34</v>
      </c>
      <c r="C295" s="164">
        <f>C202+C179+C66+C43</f>
        <v>0</v>
      </c>
      <c r="D295" s="164">
        <f>D202+D179+D66+D43</f>
        <v>0</v>
      </c>
      <c r="E295" s="164">
        <f>E202+E179+E66+E43</f>
        <v>0</v>
      </c>
      <c r="F295" s="164">
        <f>F202+F179+F66+F43</f>
        <v>0</v>
      </c>
    </row>
    <row r="296" spans="2:6" ht="15.75" thickBot="1" x14ac:dyDescent="0.3">
      <c r="B296" s="181" t="s">
        <v>89</v>
      </c>
      <c r="C296" s="165"/>
      <c r="D296" s="182" t="e">
        <f>D295/C295-1</f>
        <v>#DIV/0!</v>
      </c>
      <c r="E296" s="182" t="e">
        <f t="shared" ref="E296:F296" si="36">E295/D295-1</f>
        <v>#DIV/0!</v>
      </c>
      <c r="F296" s="182" t="e">
        <f t="shared" si="36"/>
        <v>#DIV/0!</v>
      </c>
    </row>
    <row r="297" spans="2:6" ht="15.75" thickBot="1" x14ac:dyDescent="0.3">
      <c r="B297" s="65" t="s">
        <v>36</v>
      </c>
      <c r="C297" s="164">
        <f>C203+C180+C67+C44</f>
        <v>0</v>
      </c>
      <c r="D297" s="164">
        <f>D203+D180+D67+D44</f>
        <v>0</v>
      </c>
      <c r="E297" s="164">
        <f>E203+E180+E67+E44</f>
        <v>0</v>
      </c>
      <c r="F297" s="164">
        <f>F203+F180+F67+F44</f>
        <v>0</v>
      </c>
    </row>
    <row r="298" spans="2:6" ht="15.75" thickBot="1" x14ac:dyDescent="0.3">
      <c r="B298" s="181" t="s">
        <v>90</v>
      </c>
      <c r="C298" s="165"/>
      <c r="D298" s="182" t="e">
        <f>D297/C297-1</f>
        <v>#DIV/0!</v>
      </c>
      <c r="E298" s="182" t="e">
        <f t="shared" ref="E298:F298" si="37">E297/D297-1</f>
        <v>#DIV/0!</v>
      </c>
      <c r="F298" s="182" t="e">
        <f t="shared" si="37"/>
        <v>#DIV/0!</v>
      </c>
    </row>
    <row r="299" spans="2:6" ht="15.75" thickBot="1" x14ac:dyDescent="0.3">
      <c r="B299" s="65" t="s">
        <v>38</v>
      </c>
      <c r="C299" s="164">
        <f>C204+C181+C68+C45</f>
        <v>0</v>
      </c>
      <c r="D299" s="164">
        <f>D204+D181+D68+D45</f>
        <v>0</v>
      </c>
      <c r="E299" s="164">
        <f>E204+E181+E68+E45</f>
        <v>0</v>
      </c>
      <c r="F299" s="164">
        <f>F204+F181+F68+F45</f>
        <v>0</v>
      </c>
    </row>
    <row r="300" spans="2:6" ht="30.75" thickBot="1" x14ac:dyDescent="0.3">
      <c r="B300" s="181" t="s">
        <v>91</v>
      </c>
      <c r="C300" s="165"/>
      <c r="D300" s="182" t="e">
        <f>D299/C299-1</f>
        <v>#DIV/0!</v>
      </c>
      <c r="E300" s="182" t="e">
        <f t="shared" ref="E300:F300" si="38">E299/D299-1</f>
        <v>#DIV/0!</v>
      </c>
      <c r="F300" s="182" t="e">
        <f t="shared" si="38"/>
        <v>#DIV/0!</v>
      </c>
    </row>
    <row r="301" spans="2:6" ht="15.75" thickBot="1" x14ac:dyDescent="0.3">
      <c r="B301" s="65" t="s">
        <v>92</v>
      </c>
      <c r="C301" s="164">
        <f>C88+C109+C129+C147+C224+C242+C262+C280</f>
        <v>0</v>
      </c>
      <c r="D301" s="164">
        <f>D88+D109+D129+D147+D224+D242+D262+D280</f>
        <v>0</v>
      </c>
      <c r="E301" s="164">
        <f>E88+E109+E129+E147+E224+E242+E262+E280</f>
        <v>0</v>
      </c>
      <c r="F301" s="164">
        <f>F88+F109+F129+F147+F224+F242+F262+F280</f>
        <v>0</v>
      </c>
    </row>
    <row r="302" spans="2:6" ht="15.75" thickBot="1" x14ac:dyDescent="0.3">
      <c r="B302" s="181" t="s">
        <v>93</v>
      </c>
      <c r="C302" s="165"/>
      <c r="D302" s="182" t="e">
        <f>D301/C301-1</f>
        <v>#DIV/0!</v>
      </c>
      <c r="E302" s="182" t="e">
        <f t="shared" ref="E302:F302" si="39">E301/D301-1</f>
        <v>#DIV/0!</v>
      </c>
      <c r="F302" s="182" t="e">
        <f t="shared" si="39"/>
        <v>#DIV/0!</v>
      </c>
    </row>
    <row r="303" spans="2:6" ht="15.75" thickBot="1" x14ac:dyDescent="0.3">
      <c r="B303" s="65" t="s">
        <v>94</v>
      </c>
      <c r="C303" s="164">
        <f>C89+C110+C130+C148+C225+C243+C263+C281</f>
        <v>4000</v>
      </c>
      <c r="D303" s="164">
        <f>D89+D110+D130+D148+D225+D243+D263+D281</f>
        <v>0</v>
      </c>
      <c r="E303" s="164">
        <f>E89+E110+E130+E148+E225+E243+E263+E281</f>
        <v>0</v>
      </c>
      <c r="F303" s="164">
        <f>F89+F110+F130+F148+F225+F243+F263+F281</f>
        <v>0</v>
      </c>
    </row>
    <row r="304" spans="2:6" ht="15.75" thickBot="1" x14ac:dyDescent="0.3">
      <c r="B304" s="181" t="s">
        <v>95</v>
      </c>
      <c r="C304" s="165"/>
      <c r="D304" s="182">
        <f>D303/C303-1</f>
        <v>-1</v>
      </c>
      <c r="E304" s="182" t="e">
        <f t="shared" ref="E304:F304" si="40">E303/D303-1</f>
        <v>#DIV/0!</v>
      </c>
      <c r="F304" s="182" t="e">
        <f t="shared" si="40"/>
        <v>#DIV/0!</v>
      </c>
    </row>
    <row r="305" spans="2:6" ht="15.75" thickBot="1" x14ac:dyDescent="0.3">
      <c r="B305" s="166" t="s">
        <v>41</v>
      </c>
      <c r="C305" s="167">
        <f>IF(C285-C284=0,0,"Error")</f>
        <v>0</v>
      </c>
      <c r="D305" s="167">
        <f t="shared" ref="D305:F305" si="41">IF(D285-D284=0,0,"Error")</f>
        <v>0</v>
      </c>
      <c r="E305" s="167">
        <f t="shared" si="41"/>
        <v>0</v>
      </c>
      <c r="F305" s="167">
        <f t="shared" si="41"/>
        <v>0</v>
      </c>
    </row>
    <row r="306" spans="2:6" ht="30.75" thickBot="1" x14ac:dyDescent="0.3">
      <c r="B306" s="183" t="s">
        <v>96</v>
      </c>
      <c r="C306" s="164" t="s">
        <v>23</v>
      </c>
      <c r="D306" s="164" t="s">
        <v>23</v>
      </c>
      <c r="E306" s="164" t="s">
        <v>23</v>
      </c>
      <c r="F306" s="164" t="s">
        <v>23</v>
      </c>
    </row>
    <row r="307" spans="2:6" ht="30.75" thickBot="1" x14ac:dyDescent="0.3">
      <c r="B307" s="183" t="s">
        <v>97</v>
      </c>
      <c r="C307" s="164" t="s">
        <v>23</v>
      </c>
      <c r="D307" s="164" t="s">
        <v>23</v>
      </c>
      <c r="E307" s="164" t="s">
        <v>23</v>
      </c>
      <c r="F307" s="164" t="s">
        <v>23</v>
      </c>
    </row>
  </sheetData>
  <mergeCells count="108">
    <mergeCell ref="B278:B279"/>
    <mergeCell ref="C265:F265"/>
    <mergeCell ref="C266:F266"/>
    <mergeCell ref="C267:F267"/>
    <mergeCell ref="C268:F268"/>
    <mergeCell ref="B269:B270"/>
    <mergeCell ref="B277:F277"/>
    <mergeCell ref="C248:F248"/>
    <mergeCell ref="C249:F249"/>
    <mergeCell ref="C250:F250"/>
    <mergeCell ref="B251:B252"/>
    <mergeCell ref="B259:F259"/>
    <mergeCell ref="B260:B261"/>
    <mergeCell ref="B231:B232"/>
    <mergeCell ref="B239:F239"/>
    <mergeCell ref="B240:B241"/>
    <mergeCell ref="B245:F245"/>
    <mergeCell ref="B246:F246"/>
    <mergeCell ref="C247:F247"/>
    <mergeCell ref="B221:F221"/>
    <mergeCell ref="B222:B223"/>
    <mergeCell ref="C227:F227"/>
    <mergeCell ref="C228:F228"/>
    <mergeCell ref="C229:F229"/>
    <mergeCell ref="C230:F230"/>
    <mergeCell ref="B208:F208"/>
    <mergeCell ref="C209:F209"/>
    <mergeCell ref="C210:F210"/>
    <mergeCell ref="C211:F211"/>
    <mergeCell ref="C212:F212"/>
    <mergeCell ref="B213:B214"/>
    <mergeCell ref="C185:F185"/>
    <mergeCell ref="C186:F186"/>
    <mergeCell ref="B187:B188"/>
    <mergeCell ref="B195:F195"/>
    <mergeCell ref="B196:B197"/>
    <mergeCell ref="B207:F207"/>
    <mergeCell ref="C161:F161"/>
    <mergeCell ref="B162:B163"/>
    <mergeCell ref="B170:B171"/>
    <mergeCell ref="B172:F172"/>
    <mergeCell ref="B173:B174"/>
    <mergeCell ref="C184:F184"/>
    <mergeCell ref="B151:F151"/>
    <mergeCell ref="B155:F155"/>
    <mergeCell ref="B156:F156"/>
    <mergeCell ref="B157:B158"/>
    <mergeCell ref="C159:F159"/>
    <mergeCell ref="C160:F160"/>
    <mergeCell ref="C134:F134"/>
    <mergeCell ref="C135:F135"/>
    <mergeCell ref="B136:B137"/>
    <mergeCell ref="B144:F144"/>
    <mergeCell ref="B145:B146"/>
    <mergeCell ref="C150:F150"/>
    <mergeCell ref="C117:F117"/>
    <mergeCell ref="B118:B119"/>
    <mergeCell ref="B126:F126"/>
    <mergeCell ref="B127:B128"/>
    <mergeCell ref="C132:F132"/>
    <mergeCell ref="C133:F133"/>
    <mergeCell ref="B107:B108"/>
    <mergeCell ref="B112:F112"/>
    <mergeCell ref="B113:F113"/>
    <mergeCell ref="C114:F114"/>
    <mergeCell ref="C115:F115"/>
    <mergeCell ref="C116:F116"/>
    <mergeCell ref="C94:F94"/>
    <mergeCell ref="C95:F95"/>
    <mergeCell ref="C96:F96"/>
    <mergeCell ref="C97:F97"/>
    <mergeCell ref="B98:B99"/>
    <mergeCell ref="B106:F106"/>
    <mergeCell ref="C76:F76"/>
    <mergeCell ref="B77:B78"/>
    <mergeCell ref="B85:F85"/>
    <mergeCell ref="B86:B87"/>
    <mergeCell ref="B91:B93"/>
    <mergeCell ref="C91:F93"/>
    <mergeCell ref="B60:B61"/>
    <mergeCell ref="B71:F71"/>
    <mergeCell ref="B72:F72"/>
    <mergeCell ref="C73:F73"/>
    <mergeCell ref="C74:F74"/>
    <mergeCell ref="C75:F75"/>
    <mergeCell ref="B37:B38"/>
    <mergeCell ref="C48:F48"/>
    <mergeCell ref="C49:F49"/>
    <mergeCell ref="C50:F50"/>
    <mergeCell ref="B52:B53"/>
    <mergeCell ref="B59:F59"/>
    <mergeCell ref="B24:F24"/>
    <mergeCell ref="C25:F25"/>
    <mergeCell ref="C26:F26"/>
    <mergeCell ref="C27:F27"/>
    <mergeCell ref="B28:B29"/>
    <mergeCell ref="B36:F36"/>
    <mergeCell ref="B9:F11"/>
    <mergeCell ref="C12:F12"/>
    <mergeCell ref="B13:B14"/>
    <mergeCell ref="C18:F18"/>
    <mergeCell ref="B19:F19"/>
    <mergeCell ref="B23:F23"/>
    <mergeCell ref="B3:F3"/>
    <mergeCell ref="C5:F5"/>
    <mergeCell ref="C6:F6"/>
    <mergeCell ref="C7:F7"/>
    <mergeCell ref="B8:F8"/>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I155"/>
  <sheetViews>
    <sheetView topLeftCell="A127" workbookViewId="0">
      <selection activeCell="I151" sqref="I151"/>
    </sheetView>
  </sheetViews>
  <sheetFormatPr defaultRowHeight="15" x14ac:dyDescent="0.25"/>
  <cols>
    <col min="1" max="2" width="9.140625" style="152"/>
    <col min="3" max="3" width="41" style="152" bestFit="1" customWidth="1"/>
    <col min="4" max="4" width="15.5703125" style="152" customWidth="1"/>
    <col min="5" max="5" width="19.28515625" style="152" customWidth="1"/>
    <col min="6" max="6" width="24.85546875" style="152" customWidth="1"/>
    <col min="7" max="7" width="22.7109375" style="152" customWidth="1"/>
    <col min="8" max="8" width="14.5703125" style="152" customWidth="1"/>
    <col min="9" max="9" width="31.28515625" style="152" bestFit="1" customWidth="1"/>
    <col min="10" max="10" width="11.7109375" style="152" bestFit="1" customWidth="1"/>
    <col min="11" max="16384" width="9.140625" style="152"/>
  </cols>
  <sheetData>
    <row r="4" spans="2:8" x14ac:dyDescent="0.25">
      <c r="B4" s="762" t="s">
        <v>0</v>
      </c>
      <c r="C4" s="762"/>
      <c r="D4" s="762"/>
      <c r="E4" s="762"/>
      <c r="F4" s="762"/>
      <c r="G4" s="762"/>
      <c r="H4" s="762"/>
    </row>
    <row r="5" spans="2:8" ht="15.75" thickBot="1" x14ac:dyDescent="0.3"/>
    <row r="6" spans="2:8" ht="15.75" thickBot="1" x14ac:dyDescent="0.3">
      <c r="C6" s="153" t="s">
        <v>2</v>
      </c>
      <c r="D6" s="979" t="s">
        <v>1212</v>
      </c>
      <c r="E6" s="979"/>
      <c r="F6" s="979"/>
      <c r="G6" s="979"/>
    </row>
    <row r="7" spans="2:8" ht="15.75" thickBot="1" x14ac:dyDescent="0.3">
      <c r="C7" s="153" t="s">
        <v>3</v>
      </c>
      <c r="D7" s="980" t="s">
        <v>1184</v>
      </c>
      <c r="E7" s="981"/>
      <c r="F7" s="981"/>
      <c r="G7" s="982"/>
    </row>
    <row r="8" spans="2:8" ht="15.75" thickBot="1" x14ac:dyDescent="0.3">
      <c r="C8" s="153" t="s">
        <v>5</v>
      </c>
      <c r="D8" s="983" t="s">
        <v>6</v>
      </c>
      <c r="E8" s="984"/>
      <c r="F8" s="984"/>
      <c r="G8" s="985"/>
    </row>
    <row r="9" spans="2:8" ht="15.75" thickBot="1" x14ac:dyDescent="0.3">
      <c r="C9" s="986" t="s">
        <v>7</v>
      </c>
      <c r="D9" s="987"/>
      <c r="E9" s="987"/>
      <c r="F9" s="987"/>
      <c r="G9" s="988"/>
    </row>
    <row r="10" spans="2:8" ht="15.75" thickBot="1" x14ac:dyDescent="0.3">
      <c r="C10" s="1660" t="s">
        <v>1489</v>
      </c>
      <c r="D10" s="1661"/>
      <c r="E10" s="1661"/>
      <c r="F10" s="1661"/>
      <c r="G10" s="1662"/>
    </row>
    <row r="11" spans="2:8" ht="15.75" thickBot="1" x14ac:dyDescent="0.3">
      <c r="C11" s="1660"/>
      <c r="D11" s="1661"/>
      <c r="E11" s="1661"/>
      <c r="F11" s="1661"/>
      <c r="G11" s="1662"/>
    </row>
    <row r="12" spans="2:8" ht="43.5" customHeight="1" thickBot="1" x14ac:dyDescent="0.3">
      <c r="C12" s="1660"/>
      <c r="D12" s="1661"/>
      <c r="E12" s="1661"/>
      <c r="F12" s="1661"/>
      <c r="G12" s="1662"/>
    </row>
    <row r="13" spans="2:8" ht="191.25" customHeight="1" thickBot="1" x14ac:dyDescent="0.3">
      <c r="C13" s="154" t="s">
        <v>8</v>
      </c>
      <c r="D13" s="1053" t="s">
        <v>1490</v>
      </c>
      <c r="E13" s="1065"/>
      <c r="F13" s="1065"/>
      <c r="G13" s="1066"/>
    </row>
    <row r="14" spans="2:8" x14ac:dyDescent="0.25">
      <c r="C14" s="998" t="s">
        <v>102</v>
      </c>
      <c r="D14" s="653">
        <v>2018</v>
      </c>
      <c r="E14" s="653">
        <v>2019</v>
      </c>
      <c r="F14" s="653">
        <v>2020</v>
      </c>
      <c r="G14" s="653">
        <v>2021</v>
      </c>
    </row>
    <row r="15" spans="2:8" ht="15.75" thickBot="1" x14ac:dyDescent="0.3">
      <c r="C15" s="999"/>
      <c r="D15" s="654" t="s">
        <v>10</v>
      </c>
      <c r="E15" s="654" t="s">
        <v>11</v>
      </c>
      <c r="F15" s="654" t="s">
        <v>11</v>
      </c>
      <c r="G15" s="654" t="s">
        <v>11</v>
      </c>
    </row>
    <row r="16" spans="2:8" ht="15.75" thickBot="1" x14ac:dyDescent="0.3">
      <c r="C16" s="62" t="s">
        <v>1491</v>
      </c>
      <c r="D16" s="250">
        <v>16</v>
      </c>
      <c r="E16" s="250">
        <v>25</v>
      </c>
      <c r="F16" s="665">
        <v>25</v>
      </c>
      <c r="G16" s="665">
        <v>25</v>
      </c>
    </row>
    <row r="17" spans="3:7" ht="30.75" thickBot="1" x14ac:dyDescent="0.3">
      <c r="C17" s="62" t="s">
        <v>1492</v>
      </c>
      <c r="D17" s="665" t="s">
        <v>1493</v>
      </c>
      <c r="E17" s="665" t="s">
        <v>1494</v>
      </c>
      <c r="F17" s="665" t="s">
        <v>1494</v>
      </c>
      <c r="G17" s="665" t="s">
        <v>1494</v>
      </c>
    </row>
    <row r="18" spans="3:7" ht="15.75" thickBot="1" x14ac:dyDescent="0.3">
      <c r="C18" s="158" t="s">
        <v>12</v>
      </c>
      <c r="D18" s="1200" t="s">
        <v>1495</v>
      </c>
      <c r="E18" s="1658"/>
      <c r="F18" s="1658"/>
      <c r="G18" s="1659"/>
    </row>
    <row r="19" spans="3:7" ht="15.75" thickBot="1" x14ac:dyDescent="0.3">
      <c r="C19" s="983" t="s">
        <v>103</v>
      </c>
      <c r="D19" s="984"/>
      <c r="E19" s="984"/>
      <c r="F19" s="984"/>
      <c r="G19" s="985"/>
    </row>
    <row r="20" spans="3:7" ht="15.75" thickBot="1" x14ac:dyDescent="0.3">
      <c r="C20" s="652" t="e">
        <v>#REF!</v>
      </c>
      <c r="D20" s="665" t="e">
        <v>#REF!</v>
      </c>
      <c r="E20" s="730" t="e">
        <v>#REF!</v>
      </c>
      <c r="F20" s="730" t="e">
        <v>#REF!</v>
      </c>
      <c r="G20" s="730" t="e">
        <v>#REF!</v>
      </c>
    </row>
    <row r="21" spans="3:7" ht="15.75" thickBot="1" x14ac:dyDescent="0.3">
      <c r="C21" s="989" t="s">
        <v>14</v>
      </c>
      <c r="D21" s="990"/>
      <c r="E21" s="990"/>
      <c r="F21" s="990"/>
      <c r="G21" s="991"/>
    </row>
    <row r="22" spans="3:7" ht="15.75" thickBot="1" x14ac:dyDescent="0.3">
      <c r="C22" s="989" t="s">
        <v>104</v>
      </c>
      <c r="D22" s="990"/>
      <c r="E22" s="990"/>
      <c r="F22" s="990"/>
      <c r="G22" s="991"/>
    </row>
    <row r="23" spans="3:7" ht="15.75" thickBot="1" x14ac:dyDescent="0.3">
      <c r="C23" s="160" t="s">
        <v>105</v>
      </c>
      <c r="D23" s="992" t="s">
        <v>1496</v>
      </c>
      <c r="E23" s="993"/>
      <c r="F23" s="993"/>
      <c r="G23" s="994"/>
    </row>
    <row r="24" spans="3:7" ht="51.75" customHeight="1" thickBot="1" x14ac:dyDescent="0.3">
      <c r="C24" s="62" t="s">
        <v>17</v>
      </c>
      <c r="D24" s="1049" t="s">
        <v>1497</v>
      </c>
      <c r="E24" s="1050"/>
      <c r="F24" s="1050"/>
      <c r="G24" s="1051"/>
    </row>
    <row r="25" spans="3:7" ht="15.75" thickBot="1" x14ac:dyDescent="0.3">
      <c r="C25" s="62" t="s">
        <v>18</v>
      </c>
      <c r="D25" s="995" t="s">
        <v>1498</v>
      </c>
      <c r="E25" s="996"/>
      <c r="F25" s="996"/>
      <c r="G25" s="997"/>
    </row>
    <row r="26" spans="3:7" x14ac:dyDescent="0.25">
      <c r="C26" s="998"/>
      <c r="D26" s="63">
        <v>2018</v>
      </c>
      <c r="E26" s="63">
        <v>2019</v>
      </c>
      <c r="F26" s="63">
        <v>2020</v>
      </c>
      <c r="G26" s="63">
        <v>2021</v>
      </c>
    </row>
    <row r="27" spans="3:7" ht="15.75" thickBot="1" x14ac:dyDescent="0.3">
      <c r="C27" s="999"/>
      <c r="D27" s="64" t="s">
        <v>10</v>
      </c>
      <c r="E27" s="64" t="s">
        <v>11</v>
      </c>
      <c r="F27" s="64" t="s">
        <v>11</v>
      </c>
      <c r="G27" s="64" t="s">
        <v>11</v>
      </c>
    </row>
    <row r="28" spans="3:7" ht="15.75" thickBot="1" x14ac:dyDescent="0.3">
      <c r="C28" s="62" t="s">
        <v>19</v>
      </c>
      <c r="D28" s="161">
        <v>25</v>
      </c>
      <c r="E28" s="161">
        <v>25</v>
      </c>
      <c r="F28" s="161">
        <v>25</v>
      </c>
      <c r="G28" s="161">
        <v>25</v>
      </c>
    </row>
    <row r="29" spans="3:7" ht="15.75" thickBot="1" x14ac:dyDescent="0.3">
      <c r="C29" s="62" t="s">
        <v>20</v>
      </c>
      <c r="D29" s="161">
        <v>46895.453999999998</v>
      </c>
      <c r="E29" s="161">
        <v>49688</v>
      </c>
      <c r="F29" s="161">
        <v>49688</v>
      </c>
      <c r="G29" s="161">
        <v>49688</v>
      </c>
    </row>
    <row r="30" spans="3:7" ht="15.75" thickBot="1" x14ac:dyDescent="0.3">
      <c r="C30" s="62" t="s">
        <v>21</v>
      </c>
      <c r="D30" s="161">
        <v>1875.8181599999998</v>
      </c>
      <c r="E30" s="161">
        <v>1987.52</v>
      </c>
      <c r="F30" s="161">
        <v>1987.52</v>
      </c>
      <c r="G30" s="161">
        <v>1987.52</v>
      </c>
    </row>
    <row r="31" spans="3:7" ht="15.75" thickBot="1" x14ac:dyDescent="0.3">
      <c r="C31" s="62" t="s">
        <v>22</v>
      </c>
      <c r="D31" s="651" t="s">
        <v>23</v>
      </c>
      <c r="E31" s="162">
        <v>0</v>
      </c>
      <c r="F31" s="162">
        <v>0</v>
      </c>
      <c r="G31" s="162">
        <v>0</v>
      </c>
    </row>
    <row r="32" spans="3:7" ht="15.75" thickBot="1" x14ac:dyDescent="0.3">
      <c r="C32" s="62" t="s">
        <v>24</v>
      </c>
      <c r="D32" s="651" t="s">
        <v>23</v>
      </c>
      <c r="E32" s="162">
        <v>5.954833063349807E-2</v>
      </c>
      <c r="F32" s="162">
        <v>0</v>
      </c>
      <c r="G32" s="162">
        <v>0</v>
      </c>
    </row>
    <row r="33" spans="3:8" ht="15.75" thickBot="1" x14ac:dyDescent="0.3">
      <c r="C33" s="62" t="s">
        <v>25</v>
      </c>
      <c r="D33" s="651" t="s">
        <v>23</v>
      </c>
      <c r="E33" s="162">
        <v>5.954833063349807E-2</v>
      </c>
      <c r="F33" s="162">
        <v>0</v>
      </c>
      <c r="G33" s="162">
        <v>0</v>
      </c>
    </row>
    <row r="34" spans="3:8" ht="15.75" thickBot="1" x14ac:dyDescent="0.3">
      <c r="C34" s="1000" t="s">
        <v>118</v>
      </c>
      <c r="D34" s="1001"/>
      <c r="E34" s="1001"/>
      <c r="F34" s="1001"/>
      <c r="G34" s="1002"/>
    </row>
    <row r="35" spans="3:8" x14ac:dyDescent="0.25">
      <c r="C35" s="998"/>
      <c r="D35" s="63">
        <v>2018</v>
      </c>
      <c r="E35" s="63">
        <v>2019</v>
      </c>
      <c r="F35" s="63">
        <v>2020</v>
      </c>
      <c r="G35" s="63">
        <v>2021</v>
      </c>
    </row>
    <row r="36" spans="3:8" ht="15.75" thickBot="1" x14ac:dyDescent="0.3">
      <c r="C36" s="999"/>
      <c r="D36" s="64" t="s">
        <v>10</v>
      </c>
      <c r="E36" s="64" t="s">
        <v>11</v>
      </c>
      <c r="F36" s="64" t="s">
        <v>11</v>
      </c>
      <c r="G36" s="64" t="s">
        <v>11</v>
      </c>
    </row>
    <row r="37" spans="3:8" ht="15.75" thickBot="1" x14ac:dyDescent="0.3">
      <c r="C37" s="65" t="s">
        <v>26</v>
      </c>
      <c r="D37" s="164">
        <v>25783</v>
      </c>
      <c r="E37" s="164">
        <v>25561</v>
      </c>
      <c r="F37" s="164">
        <v>25561</v>
      </c>
      <c r="G37" s="164">
        <v>25561</v>
      </c>
    </row>
    <row r="38" spans="3:8" ht="15.75" thickBot="1" x14ac:dyDescent="0.3">
      <c r="C38" s="65" t="s">
        <v>28</v>
      </c>
      <c r="D38" s="164">
        <v>3666.2310000000002</v>
      </c>
      <c r="E38" s="164">
        <v>4127</v>
      </c>
      <c r="F38" s="164">
        <v>4127</v>
      </c>
      <c r="G38" s="164">
        <v>4127</v>
      </c>
    </row>
    <row r="39" spans="3:8" ht="15.75" thickBot="1" x14ac:dyDescent="0.3">
      <c r="C39" s="65" t="s">
        <v>30</v>
      </c>
      <c r="D39" s="165">
        <v>17446.223000000002</v>
      </c>
      <c r="E39" s="164">
        <v>20000</v>
      </c>
      <c r="F39" s="164">
        <v>20000</v>
      </c>
      <c r="G39" s="164">
        <v>20000</v>
      </c>
      <c r="H39" s="729"/>
    </row>
    <row r="40" spans="3:8" ht="15.75" thickBot="1" x14ac:dyDescent="0.3">
      <c r="C40" s="65" t="s">
        <v>32</v>
      </c>
      <c r="D40" s="165"/>
      <c r="E40" s="164"/>
      <c r="F40" s="164"/>
      <c r="G40" s="164"/>
    </row>
    <row r="41" spans="3:8" ht="15.75" thickBot="1" x14ac:dyDescent="0.3">
      <c r="C41" s="65" t="s">
        <v>34</v>
      </c>
      <c r="D41" s="165"/>
      <c r="E41" s="164"/>
      <c r="F41" s="164"/>
      <c r="G41" s="164"/>
    </row>
    <row r="42" spans="3:8" ht="15.75" thickBot="1" x14ac:dyDescent="0.3">
      <c r="C42" s="65" t="s">
        <v>36</v>
      </c>
      <c r="D42" s="165"/>
      <c r="E42" s="164"/>
      <c r="F42" s="164"/>
      <c r="G42" s="164"/>
    </row>
    <row r="43" spans="3:8" ht="15.75" thickBot="1" x14ac:dyDescent="0.3">
      <c r="C43" s="65" t="s">
        <v>38</v>
      </c>
      <c r="D43" s="165"/>
      <c r="E43" s="164"/>
      <c r="F43" s="164"/>
      <c r="G43" s="164"/>
    </row>
    <row r="44" spans="3:8" ht="15.75" thickBot="1" x14ac:dyDescent="0.3">
      <c r="C44" s="66" t="s">
        <v>40</v>
      </c>
      <c r="D44" s="165">
        <v>46895.453999999998</v>
      </c>
      <c r="E44" s="165">
        <v>49688</v>
      </c>
      <c r="F44" s="165">
        <v>49688</v>
      </c>
      <c r="G44" s="165">
        <v>49688</v>
      </c>
    </row>
    <row r="45" spans="3:8" ht="15.75" thickBot="1" x14ac:dyDescent="0.3">
      <c r="C45" s="731" t="s">
        <v>41</v>
      </c>
      <c r="D45" s="167">
        <v>0</v>
      </c>
      <c r="E45" s="167">
        <v>0</v>
      </c>
      <c r="F45" s="167">
        <v>0</v>
      </c>
      <c r="G45" s="167">
        <v>0</v>
      </c>
    </row>
    <row r="46" spans="3:8" ht="15.75" thickBot="1" x14ac:dyDescent="0.3">
      <c r="C46" s="195" t="s">
        <v>129</v>
      </c>
      <c r="D46" s="992" t="s">
        <v>106</v>
      </c>
      <c r="E46" s="993"/>
      <c r="F46" s="993"/>
      <c r="G46" s="994"/>
    </row>
    <row r="47" spans="3:8" ht="15.75" thickBot="1" x14ac:dyDescent="0.3">
      <c r="C47" s="62" t="s">
        <v>17</v>
      </c>
      <c r="D47" s="983" t="s">
        <v>106</v>
      </c>
      <c r="E47" s="984"/>
      <c r="F47" s="984"/>
      <c r="G47" s="985"/>
    </row>
    <row r="48" spans="3:8" ht="15.75" thickBot="1" x14ac:dyDescent="0.3">
      <c r="C48" s="62" t="s">
        <v>18</v>
      </c>
      <c r="D48" s="995" t="s">
        <v>106</v>
      </c>
      <c r="E48" s="996"/>
      <c r="F48" s="996"/>
      <c r="G48" s="997"/>
    </row>
    <row r="49" spans="3:7" ht="15.75" thickBot="1" x14ac:dyDescent="0.3">
      <c r="C49" s="62" t="s">
        <v>19</v>
      </c>
      <c r="D49" s="161"/>
      <c r="E49" s="161"/>
      <c r="F49" s="161"/>
      <c r="G49" s="161"/>
    </row>
    <row r="50" spans="3:7" x14ac:dyDescent="0.25">
      <c r="C50" s="998"/>
      <c r="D50" s="63">
        <v>2018</v>
      </c>
      <c r="E50" s="63">
        <v>2019</v>
      </c>
      <c r="F50" s="63">
        <v>2020</v>
      </c>
      <c r="G50" s="63">
        <v>2021</v>
      </c>
    </row>
    <row r="51" spans="3:7" ht="15.75" thickBot="1" x14ac:dyDescent="0.3">
      <c r="C51" s="999"/>
      <c r="D51" s="64" t="s">
        <v>10</v>
      </c>
      <c r="E51" s="64" t="s">
        <v>11</v>
      </c>
      <c r="F51" s="64" t="s">
        <v>11</v>
      </c>
      <c r="G51" s="64" t="s">
        <v>11</v>
      </c>
    </row>
    <row r="52" spans="3:7" ht="15.75" thickBot="1" x14ac:dyDescent="0.3">
      <c r="C52" s="62" t="s">
        <v>20</v>
      </c>
      <c r="D52" s="161"/>
      <c r="E52" s="161"/>
      <c r="F52" s="161"/>
      <c r="G52" s="161"/>
    </row>
    <row r="53" spans="3:7" ht="15.75" thickBot="1" x14ac:dyDescent="0.3">
      <c r="C53" s="62" t="s">
        <v>21</v>
      </c>
      <c r="D53" s="161" t="e">
        <v>#DIV/0!</v>
      </c>
      <c r="E53" s="161" t="e">
        <v>#DIV/0!</v>
      </c>
      <c r="F53" s="161" t="e">
        <v>#DIV/0!</v>
      </c>
      <c r="G53" s="161" t="e">
        <v>#DIV/0!</v>
      </c>
    </row>
    <row r="54" spans="3:7" ht="15.75" thickBot="1" x14ac:dyDescent="0.3">
      <c r="C54" s="62" t="s">
        <v>22</v>
      </c>
      <c r="D54" s="651"/>
      <c r="E54" s="162" t="e">
        <v>#DIV/0!</v>
      </c>
      <c r="F54" s="162" t="e">
        <v>#DIV/0!</v>
      </c>
      <c r="G54" s="162" t="e">
        <v>#DIV/0!</v>
      </c>
    </row>
    <row r="55" spans="3:7" ht="15.75" thickBot="1" x14ac:dyDescent="0.3">
      <c r="C55" s="62" t="s">
        <v>24</v>
      </c>
      <c r="D55" s="651"/>
      <c r="E55" s="162" t="e">
        <v>#DIV/0!</v>
      </c>
      <c r="F55" s="162" t="e">
        <v>#DIV/0!</v>
      </c>
      <c r="G55" s="162" t="e">
        <v>#DIV/0!</v>
      </c>
    </row>
    <row r="56" spans="3:7" ht="15.75" thickBot="1" x14ac:dyDescent="0.3">
      <c r="C56" s="62" t="s">
        <v>25</v>
      </c>
      <c r="D56" s="651"/>
      <c r="E56" s="162" t="e">
        <v>#DIV/0!</v>
      </c>
      <c r="F56" s="162" t="e">
        <v>#DIV/0!</v>
      </c>
      <c r="G56" s="162" t="e">
        <v>#DIV/0!</v>
      </c>
    </row>
    <row r="57" spans="3:7" ht="15.75" thickBot="1" x14ac:dyDescent="0.3">
      <c r="C57" s="1000" t="s">
        <v>1178</v>
      </c>
      <c r="D57" s="1001"/>
      <c r="E57" s="1001"/>
      <c r="F57" s="1001"/>
      <c r="G57" s="1002"/>
    </row>
    <row r="58" spans="3:7" x14ac:dyDescent="0.25">
      <c r="C58" s="998"/>
      <c r="D58" s="63">
        <v>2018</v>
      </c>
      <c r="E58" s="63">
        <v>2019</v>
      </c>
      <c r="F58" s="63">
        <v>2020</v>
      </c>
      <c r="G58" s="63">
        <v>2021</v>
      </c>
    </row>
    <row r="59" spans="3:7" ht="15.75" thickBot="1" x14ac:dyDescent="0.3">
      <c r="C59" s="999"/>
      <c r="D59" s="64" t="s">
        <v>10</v>
      </c>
      <c r="E59" s="64" t="s">
        <v>11</v>
      </c>
      <c r="F59" s="64" t="s">
        <v>11</v>
      </c>
      <c r="G59" s="64" t="s">
        <v>11</v>
      </c>
    </row>
    <row r="60" spans="3:7" ht="15.75" thickBot="1" x14ac:dyDescent="0.3">
      <c r="C60" s="65" t="s">
        <v>26</v>
      </c>
      <c r="D60" s="164"/>
      <c r="E60" s="164"/>
      <c r="F60" s="164"/>
      <c r="G60" s="164"/>
    </row>
    <row r="61" spans="3:7" ht="15.75" thickBot="1" x14ac:dyDescent="0.3">
      <c r="C61" s="65" t="s">
        <v>28</v>
      </c>
      <c r="D61" s="164"/>
      <c r="E61" s="164"/>
      <c r="F61" s="164"/>
      <c r="G61" s="164"/>
    </row>
    <row r="62" spans="3:7" ht="15.75" thickBot="1" x14ac:dyDescent="0.3">
      <c r="C62" s="65" t="s">
        <v>30</v>
      </c>
      <c r="D62" s="165"/>
      <c r="E62" s="164"/>
      <c r="F62" s="164"/>
      <c r="G62" s="164"/>
    </row>
    <row r="63" spans="3:7" ht="15.75" thickBot="1" x14ac:dyDescent="0.3">
      <c r="C63" s="65" t="s">
        <v>32</v>
      </c>
      <c r="D63" s="165"/>
      <c r="E63" s="164"/>
      <c r="F63" s="164"/>
      <c r="G63" s="164"/>
    </row>
    <row r="64" spans="3:7" ht="15.75" thickBot="1" x14ac:dyDescent="0.3">
      <c r="C64" s="65" t="s">
        <v>34</v>
      </c>
      <c r="D64" s="165"/>
      <c r="E64" s="164"/>
      <c r="F64" s="164"/>
      <c r="G64" s="164"/>
    </row>
    <row r="65" spans="3:7" ht="15.75" thickBot="1" x14ac:dyDescent="0.3">
      <c r="C65" s="65" t="s">
        <v>36</v>
      </c>
      <c r="D65" s="165"/>
      <c r="E65" s="164"/>
      <c r="F65" s="164"/>
      <c r="G65" s="164"/>
    </row>
    <row r="66" spans="3:7" ht="15.75" thickBot="1" x14ac:dyDescent="0.3">
      <c r="C66" s="65" t="s">
        <v>38</v>
      </c>
      <c r="D66" s="165"/>
      <c r="E66" s="164"/>
      <c r="F66" s="164"/>
      <c r="G66" s="164"/>
    </row>
    <row r="67" spans="3:7" ht="15.75" thickBot="1" x14ac:dyDescent="0.3">
      <c r="C67" s="196" t="s">
        <v>74</v>
      </c>
      <c r="D67" s="165">
        <v>0</v>
      </c>
      <c r="E67" s="165">
        <v>0</v>
      </c>
      <c r="F67" s="165">
        <v>0</v>
      </c>
      <c r="G67" s="165">
        <v>0</v>
      </c>
    </row>
    <row r="68" spans="3:7" ht="15.75" thickBot="1" x14ac:dyDescent="0.3">
      <c r="C68" s="166" t="s">
        <v>41</v>
      </c>
      <c r="D68" s="167">
        <v>0</v>
      </c>
      <c r="E68" s="167">
        <v>0</v>
      </c>
      <c r="F68" s="167">
        <v>0</v>
      </c>
      <c r="G68" s="167">
        <v>0</v>
      </c>
    </row>
    <row r="69" spans="3:7" ht="15.75" thickBot="1" x14ac:dyDescent="0.3">
      <c r="C69" s="989" t="s">
        <v>63</v>
      </c>
      <c r="D69" s="990"/>
      <c r="E69" s="990"/>
      <c r="F69" s="990"/>
      <c r="G69" s="991"/>
    </row>
    <row r="70" spans="3:7" ht="15.75" thickBot="1" x14ac:dyDescent="0.3">
      <c r="C70" s="989" t="s">
        <v>56</v>
      </c>
      <c r="D70" s="990"/>
      <c r="E70" s="990"/>
      <c r="F70" s="990"/>
      <c r="G70" s="991"/>
    </row>
    <row r="71" spans="3:7" ht="15.75" thickBot="1" x14ac:dyDescent="0.3">
      <c r="C71" s="67" t="s">
        <v>1205</v>
      </c>
      <c r="D71" s="1009" t="s">
        <v>1499</v>
      </c>
      <c r="E71" s="1010"/>
      <c r="F71" s="1010"/>
      <c r="G71" s="1011"/>
    </row>
    <row r="72" spans="3:7" ht="15.75" thickBot="1" x14ac:dyDescent="0.3">
      <c r="C72" s="160" t="s">
        <v>16</v>
      </c>
      <c r="D72" s="992" t="s">
        <v>1500</v>
      </c>
      <c r="E72" s="993"/>
      <c r="F72" s="993"/>
      <c r="G72" s="994"/>
    </row>
    <row r="73" spans="3:7" ht="15.75" thickBot="1" x14ac:dyDescent="0.3">
      <c r="C73" s="62" t="s">
        <v>17</v>
      </c>
      <c r="D73" s="983" t="s">
        <v>1501</v>
      </c>
      <c r="E73" s="984"/>
      <c r="F73" s="984"/>
      <c r="G73" s="985"/>
    </row>
    <row r="74" spans="3:7" ht="15.75" thickBot="1" x14ac:dyDescent="0.3">
      <c r="C74" s="62" t="s">
        <v>18</v>
      </c>
      <c r="D74" s="995" t="s">
        <v>1502</v>
      </c>
      <c r="E74" s="996"/>
      <c r="F74" s="996"/>
      <c r="G74" s="997"/>
    </row>
    <row r="75" spans="3:7" x14ac:dyDescent="0.25">
      <c r="C75" s="998"/>
      <c r="D75" s="63">
        <v>2018</v>
      </c>
      <c r="E75" s="63">
        <v>2019</v>
      </c>
      <c r="F75" s="63">
        <v>2020</v>
      </c>
      <c r="G75" s="63">
        <v>2021</v>
      </c>
    </row>
    <row r="76" spans="3:7" ht="15.75" thickBot="1" x14ac:dyDescent="0.3">
      <c r="C76" s="999"/>
      <c r="D76" s="64" t="s">
        <v>10</v>
      </c>
      <c r="E76" s="64" t="s">
        <v>11</v>
      </c>
      <c r="F76" s="64" t="s">
        <v>11</v>
      </c>
      <c r="G76" s="64" t="s">
        <v>11</v>
      </c>
    </row>
    <row r="77" spans="3:7" ht="15.75" thickBot="1" x14ac:dyDescent="0.3">
      <c r="C77" s="62" t="s">
        <v>19</v>
      </c>
      <c r="D77" s="161">
        <v>90</v>
      </c>
      <c r="E77" s="161">
        <v>50</v>
      </c>
      <c r="F77" s="161">
        <v>50</v>
      </c>
      <c r="G77" s="161">
        <v>50</v>
      </c>
    </row>
    <row r="78" spans="3:7" ht="15.75" thickBot="1" x14ac:dyDescent="0.3">
      <c r="C78" s="62" t="s">
        <v>20</v>
      </c>
      <c r="D78" s="161">
        <v>2000</v>
      </c>
      <c r="E78" s="161">
        <v>1111.1111111111111</v>
      </c>
      <c r="F78" s="161">
        <v>1111.1111111111111</v>
      </c>
      <c r="G78" s="161">
        <v>1111.1111111111111</v>
      </c>
    </row>
    <row r="79" spans="3:7" ht="15.75" thickBot="1" x14ac:dyDescent="0.3">
      <c r="C79" s="62" t="s">
        <v>21</v>
      </c>
      <c r="D79" s="161">
        <v>22.222222222222221</v>
      </c>
      <c r="E79" s="161">
        <v>22.222222222222221</v>
      </c>
      <c r="F79" s="161">
        <v>22.222222222222221</v>
      </c>
      <c r="G79" s="161">
        <v>22.222222222222221</v>
      </c>
    </row>
    <row r="80" spans="3:7" ht="15.75" thickBot="1" x14ac:dyDescent="0.3">
      <c r="C80" s="62" t="s">
        <v>22</v>
      </c>
      <c r="D80" s="651" t="s">
        <v>23</v>
      </c>
      <c r="E80" s="162">
        <v>-0.44444444444444442</v>
      </c>
      <c r="F80" s="162">
        <v>0</v>
      </c>
      <c r="G80" s="162">
        <v>0</v>
      </c>
    </row>
    <row r="81" spans="3:7" ht="15.75" thickBot="1" x14ac:dyDescent="0.3">
      <c r="C81" s="62" t="s">
        <v>24</v>
      </c>
      <c r="D81" s="651" t="s">
        <v>23</v>
      </c>
      <c r="E81" s="162">
        <v>-0.44444444444444442</v>
      </c>
      <c r="F81" s="162">
        <v>0</v>
      </c>
      <c r="G81" s="162">
        <v>0</v>
      </c>
    </row>
    <row r="82" spans="3:7" ht="15.75" thickBot="1" x14ac:dyDescent="0.3">
      <c r="C82" s="62" t="s">
        <v>25</v>
      </c>
      <c r="D82" s="651" t="s">
        <v>23</v>
      </c>
      <c r="E82" s="162">
        <v>0</v>
      </c>
      <c r="F82" s="162">
        <v>0</v>
      </c>
      <c r="G82" s="162">
        <v>0</v>
      </c>
    </row>
    <row r="83" spans="3:7" ht="15.75" thickBot="1" x14ac:dyDescent="0.3">
      <c r="C83" s="1000" t="s">
        <v>118</v>
      </c>
      <c r="D83" s="1001"/>
      <c r="E83" s="1001"/>
      <c r="F83" s="1001"/>
      <c r="G83" s="1002"/>
    </row>
    <row r="84" spans="3:7" x14ac:dyDescent="0.25">
      <c r="C84" s="998"/>
      <c r="D84" s="63">
        <v>2018</v>
      </c>
      <c r="E84" s="63">
        <v>2019</v>
      </c>
      <c r="F84" s="63">
        <v>2020</v>
      </c>
      <c r="G84" s="63">
        <v>2021</v>
      </c>
    </row>
    <row r="85" spans="3:7" ht="15.75" thickBot="1" x14ac:dyDescent="0.3">
      <c r="C85" s="999"/>
      <c r="D85" s="64" t="s">
        <v>10</v>
      </c>
      <c r="E85" s="64" t="s">
        <v>11</v>
      </c>
      <c r="F85" s="64" t="s">
        <v>11</v>
      </c>
      <c r="G85" s="64" t="s">
        <v>11</v>
      </c>
    </row>
    <row r="86" spans="3:7" ht="15.75" thickBot="1" x14ac:dyDescent="0.3">
      <c r="C86" s="65" t="s">
        <v>58</v>
      </c>
      <c r="D86" s="164"/>
      <c r="E86" s="164"/>
      <c r="F86" s="164"/>
      <c r="G86" s="164"/>
    </row>
    <row r="87" spans="3:7" ht="15.75" thickBot="1" x14ac:dyDescent="0.3">
      <c r="C87" s="65" t="s">
        <v>59</v>
      </c>
      <c r="D87" s="161">
        <v>2000</v>
      </c>
      <c r="E87" s="165">
        <v>1111.1111111111111</v>
      </c>
      <c r="F87" s="165">
        <v>1111.1111111111111</v>
      </c>
      <c r="G87" s="165">
        <v>1111.1111111111111</v>
      </c>
    </row>
    <row r="88" spans="3:7" ht="15.75" thickBot="1" x14ac:dyDescent="0.3">
      <c r="C88" s="66" t="s">
        <v>40</v>
      </c>
      <c r="D88" s="165">
        <v>2000</v>
      </c>
      <c r="E88" s="165">
        <v>1111.1111111111111</v>
      </c>
      <c r="F88" s="165">
        <v>1111.1111111111111</v>
      </c>
      <c r="G88" s="165">
        <v>1111.1111111111111</v>
      </c>
    </row>
    <row r="89" spans="3:7" x14ac:dyDescent="0.25">
      <c r="C89" s="1015" t="s">
        <v>60</v>
      </c>
      <c r="D89" s="1036" t="s">
        <v>1503</v>
      </c>
      <c r="E89" s="1037"/>
      <c r="F89" s="1037"/>
      <c r="G89" s="1038"/>
    </row>
    <row r="90" spans="3:7" x14ac:dyDescent="0.25">
      <c r="C90" s="1016"/>
      <c r="D90" s="1039"/>
      <c r="E90" s="1040"/>
      <c r="F90" s="1040"/>
      <c r="G90" s="1041"/>
    </row>
    <row r="91" spans="3:7" ht="15.75" thickBot="1" x14ac:dyDescent="0.3">
      <c r="C91" s="1017"/>
      <c r="D91" s="1042"/>
      <c r="E91" s="1043"/>
      <c r="F91" s="1043"/>
      <c r="G91" s="1044"/>
    </row>
    <row r="92" spans="3:7" ht="15.75" thickBot="1" x14ac:dyDescent="0.3">
      <c r="C92" s="67" t="s">
        <v>1205</v>
      </c>
      <c r="D92" s="1009" t="s">
        <v>1499</v>
      </c>
      <c r="E92" s="1010"/>
      <c r="F92" s="1010"/>
      <c r="G92" s="1011"/>
    </row>
    <row r="93" spans="3:7" ht="15.75" thickBot="1" x14ac:dyDescent="0.3">
      <c r="C93" s="160" t="s">
        <v>42</v>
      </c>
      <c r="D93" s="992" t="s">
        <v>675</v>
      </c>
      <c r="E93" s="993"/>
      <c r="F93" s="993"/>
      <c r="G93" s="994"/>
    </row>
    <row r="94" spans="3:7" ht="15.75" thickBot="1" x14ac:dyDescent="0.3">
      <c r="C94" s="62" t="s">
        <v>17</v>
      </c>
      <c r="D94" s="983" t="s">
        <v>1504</v>
      </c>
      <c r="E94" s="984"/>
      <c r="F94" s="984"/>
      <c r="G94" s="985"/>
    </row>
    <row r="95" spans="3:7" ht="15.75" thickBot="1" x14ac:dyDescent="0.3">
      <c r="C95" s="62" t="s">
        <v>18</v>
      </c>
      <c r="D95" s="995" t="s">
        <v>1502</v>
      </c>
      <c r="E95" s="996"/>
      <c r="F95" s="996"/>
      <c r="G95" s="997"/>
    </row>
    <row r="96" spans="3:7" x14ac:dyDescent="0.25">
      <c r="C96" s="998"/>
      <c r="D96" s="63">
        <v>2018</v>
      </c>
      <c r="E96" s="63">
        <v>2019</v>
      </c>
      <c r="F96" s="63">
        <v>2020</v>
      </c>
      <c r="G96" s="63">
        <v>2021</v>
      </c>
    </row>
    <row r="97" spans="3:7" ht="15.75" thickBot="1" x14ac:dyDescent="0.3">
      <c r="C97" s="999"/>
      <c r="D97" s="64" t="s">
        <v>10</v>
      </c>
      <c r="E97" s="64" t="s">
        <v>11</v>
      </c>
      <c r="F97" s="64" t="s">
        <v>11</v>
      </c>
      <c r="G97" s="64" t="s">
        <v>11</v>
      </c>
    </row>
    <row r="98" spans="3:7" ht="15.75" thickBot="1" x14ac:dyDescent="0.3">
      <c r="C98" s="62" t="s">
        <v>19</v>
      </c>
      <c r="D98" s="161">
        <v>1</v>
      </c>
      <c r="E98" s="161">
        <v>25</v>
      </c>
      <c r="F98" s="161">
        <v>25</v>
      </c>
      <c r="G98" s="161">
        <v>25</v>
      </c>
    </row>
    <row r="99" spans="3:7" ht="15.75" thickBot="1" x14ac:dyDescent="0.3">
      <c r="C99" s="62" t="s">
        <v>20</v>
      </c>
      <c r="D99" s="161">
        <v>100</v>
      </c>
      <c r="E99" s="161">
        <v>2500</v>
      </c>
      <c r="F99" s="161">
        <v>2500</v>
      </c>
      <c r="G99" s="161">
        <v>2500</v>
      </c>
    </row>
    <row r="100" spans="3:7" ht="15.75" thickBot="1" x14ac:dyDescent="0.3">
      <c r="C100" s="62" t="s">
        <v>21</v>
      </c>
      <c r="D100" s="161">
        <v>100</v>
      </c>
      <c r="E100" s="161">
        <v>100</v>
      </c>
      <c r="F100" s="161">
        <v>100</v>
      </c>
      <c r="G100" s="161">
        <v>100</v>
      </c>
    </row>
    <row r="101" spans="3:7" ht="15.75" thickBot="1" x14ac:dyDescent="0.3">
      <c r="C101" s="62" t="s">
        <v>22</v>
      </c>
      <c r="D101" s="651" t="s">
        <v>23</v>
      </c>
      <c r="E101" s="162">
        <v>24</v>
      </c>
      <c r="F101" s="162">
        <v>0</v>
      </c>
      <c r="G101" s="162">
        <v>0</v>
      </c>
    </row>
    <row r="102" spans="3:7" ht="15.75" thickBot="1" x14ac:dyDescent="0.3">
      <c r="C102" s="62" t="s">
        <v>24</v>
      </c>
      <c r="D102" s="651" t="s">
        <v>23</v>
      </c>
      <c r="E102" s="162">
        <v>24</v>
      </c>
      <c r="F102" s="162">
        <v>0</v>
      </c>
      <c r="G102" s="162">
        <v>0</v>
      </c>
    </row>
    <row r="103" spans="3:7" ht="15.75" thickBot="1" x14ac:dyDescent="0.3">
      <c r="C103" s="62" t="s">
        <v>25</v>
      </c>
      <c r="D103" s="651" t="s">
        <v>23</v>
      </c>
      <c r="E103" s="162">
        <v>0</v>
      </c>
      <c r="F103" s="162">
        <v>0</v>
      </c>
      <c r="G103" s="162">
        <v>0</v>
      </c>
    </row>
    <row r="104" spans="3:7" ht="15.75" thickBot="1" x14ac:dyDescent="0.3">
      <c r="C104" s="1000" t="s">
        <v>1178</v>
      </c>
      <c r="D104" s="1001"/>
      <c r="E104" s="1001"/>
      <c r="F104" s="1001"/>
      <c r="G104" s="1002"/>
    </row>
    <row r="105" spans="3:7" x14ac:dyDescent="0.25">
      <c r="C105" s="998"/>
      <c r="D105" s="63">
        <v>2018</v>
      </c>
      <c r="E105" s="63">
        <v>2019</v>
      </c>
      <c r="F105" s="63">
        <v>2020</v>
      </c>
      <c r="G105" s="63">
        <v>2021</v>
      </c>
    </row>
    <row r="106" spans="3:7" ht="15.75" thickBot="1" x14ac:dyDescent="0.3">
      <c r="C106" s="999"/>
      <c r="D106" s="64" t="s">
        <v>10</v>
      </c>
      <c r="E106" s="64" t="s">
        <v>11</v>
      </c>
      <c r="F106" s="64" t="s">
        <v>11</v>
      </c>
      <c r="G106" s="64" t="s">
        <v>11</v>
      </c>
    </row>
    <row r="107" spans="3:7" ht="15.75" thickBot="1" x14ac:dyDescent="0.3">
      <c r="C107" s="65" t="s">
        <v>58</v>
      </c>
      <c r="D107" s="164"/>
      <c r="E107" s="164"/>
      <c r="F107" s="164"/>
      <c r="G107" s="164"/>
    </row>
    <row r="108" spans="3:7" ht="15.75" thickBot="1" x14ac:dyDescent="0.3">
      <c r="C108" s="65" t="s">
        <v>59</v>
      </c>
      <c r="D108" s="165">
        <v>100</v>
      </c>
      <c r="E108" s="164">
        <v>2500</v>
      </c>
      <c r="F108" s="164">
        <v>2500</v>
      </c>
      <c r="G108" s="164">
        <v>2500</v>
      </c>
    </row>
    <row r="109" spans="3:7" ht="15.75" thickBot="1" x14ac:dyDescent="0.3">
      <c r="C109" s="66" t="s">
        <v>43</v>
      </c>
      <c r="D109" s="165">
        <v>100</v>
      </c>
      <c r="E109" s="165">
        <v>2500</v>
      </c>
      <c r="F109" s="165">
        <v>2500</v>
      </c>
      <c r="G109" s="165">
        <v>2500</v>
      </c>
    </row>
    <row r="110" spans="3:7" ht="15.75" thickBot="1" x14ac:dyDescent="0.3">
      <c r="C110" s="989" t="s">
        <v>63</v>
      </c>
      <c r="D110" s="990"/>
      <c r="E110" s="990"/>
      <c r="F110" s="990"/>
      <c r="G110" s="991"/>
    </row>
    <row r="111" spans="3:7" ht="15.75" thickBot="1" x14ac:dyDescent="0.3">
      <c r="C111" s="989" t="s">
        <v>64</v>
      </c>
      <c r="D111" s="990"/>
      <c r="E111" s="990"/>
      <c r="F111" s="990"/>
      <c r="G111" s="991"/>
    </row>
    <row r="112" spans="3:7" ht="15.75" thickBot="1" x14ac:dyDescent="0.3">
      <c r="C112" s="229" t="s">
        <v>1505</v>
      </c>
      <c r="D112" s="1074" t="s">
        <v>1506</v>
      </c>
      <c r="E112" s="1075"/>
      <c r="F112" s="1075"/>
      <c r="G112" s="1076"/>
    </row>
    <row r="113" spans="3:7" ht="15.75" thickBot="1" x14ac:dyDescent="0.3">
      <c r="C113" s="230" t="s">
        <v>16</v>
      </c>
      <c r="D113" s="1074" t="s">
        <v>1506</v>
      </c>
      <c r="E113" s="1075"/>
      <c r="F113" s="1075"/>
      <c r="G113" s="1076"/>
    </row>
    <row r="114" spans="3:7" ht="15.75" thickBot="1" x14ac:dyDescent="0.3">
      <c r="C114" s="229" t="s">
        <v>17</v>
      </c>
      <c r="D114" s="1069" t="s">
        <v>1507</v>
      </c>
      <c r="E114" s="1070"/>
      <c r="F114" s="1070"/>
      <c r="G114" s="1071"/>
    </row>
    <row r="115" spans="3:7" ht="15.75" thickBot="1" x14ac:dyDescent="0.3">
      <c r="C115" s="62" t="s">
        <v>18</v>
      </c>
      <c r="D115" s="995" t="s">
        <v>1508</v>
      </c>
      <c r="E115" s="996"/>
      <c r="F115" s="996"/>
      <c r="G115" s="997"/>
    </row>
    <row r="116" spans="3:7" x14ac:dyDescent="0.25">
      <c r="C116" s="998"/>
      <c r="D116" s="63">
        <v>2018</v>
      </c>
      <c r="E116" s="63">
        <v>2019</v>
      </c>
      <c r="F116" s="63">
        <v>2020</v>
      </c>
      <c r="G116" s="63">
        <v>2021</v>
      </c>
    </row>
    <row r="117" spans="3:7" ht="15.75" thickBot="1" x14ac:dyDescent="0.3">
      <c r="C117" s="999"/>
      <c r="D117" s="64" t="s">
        <v>10</v>
      </c>
      <c r="E117" s="64" t="s">
        <v>11</v>
      </c>
      <c r="F117" s="64" t="s">
        <v>11</v>
      </c>
      <c r="G117" s="64" t="s">
        <v>11</v>
      </c>
    </row>
    <row r="118" spans="3:7" ht="15.75" thickBot="1" x14ac:dyDescent="0.3">
      <c r="C118" s="62" t="s">
        <v>19</v>
      </c>
      <c r="D118" s="161">
        <v>4</v>
      </c>
      <c r="E118" s="161">
        <v>6</v>
      </c>
      <c r="F118" s="161">
        <v>8</v>
      </c>
      <c r="G118" s="161">
        <v>10</v>
      </c>
    </row>
    <row r="119" spans="3:7" ht="15.75" thickBot="1" x14ac:dyDescent="0.3">
      <c r="C119" s="62" t="s">
        <v>20</v>
      </c>
      <c r="D119" s="161">
        <v>9900</v>
      </c>
      <c r="E119" s="161">
        <v>14850</v>
      </c>
      <c r="F119" s="161">
        <v>19800</v>
      </c>
      <c r="G119" s="161">
        <v>24750</v>
      </c>
    </row>
    <row r="120" spans="3:7" ht="15.75" thickBot="1" x14ac:dyDescent="0.3">
      <c r="C120" s="62" t="s">
        <v>21</v>
      </c>
      <c r="D120" s="161">
        <v>2475</v>
      </c>
      <c r="E120" s="161">
        <v>2475</v>
      </c>
      <c r="F120" s="161">
        <v>2475</v>
      </c>
      <c r="G120" s="161">
        <v>2475</v>
      </c>
    </row>
    <row r="121" spans="3:7" ht="15.75" thickBot="1" x14ac:dyDescent="0.3">
      <c r="C121" s="62" t="s">
        <v>22</v>
      </c>
      <c r="D121" s="651" t="s">
        <v>23</v>
      </c>
      <c r="E121" s="162">
        <v>0.5</v>
      </c>
      <c r="F121" s="162">
        <v>0.33333333333333326</v>
      </c>
      <c r="G121" s="162">
        <v>0.25</v>
      </c>
    </row>
    <row r="122" spans="3:7" ht="15.75" thickBot="1" x14ac:dyDescent="0.3">
      <c r="C122" s="62" t="s">
        <v>24</v>
      </c>
      <c r="D122" s="651" t="s">
        <v>23</v>
      </c>
      <c r="E122" s="162">
        <v>0.5</v>
      </c>
      <c r="F122" s="162">
        <v>0.33333333333333326</v>
      </c>
      <c r="G122" s="162">
        <v>0.25</v>
      </c>
    </row>
    <row r="123" spans="3:7" ht="15.75" thickBot="1" x14ac:dyDescent="0.3">
      <c r="C123" s="62" t="s">
        <v>25</v>
      </c>
      <c r="D123" s="651" t="s">
        <v>23</v>
      </c>
      <c r="E123" s="162">
        <v>0</v>
      </c>
      <c r="F123" s="162">
        <v>0</v>
      </c>
      <c r="G123" s="162">
        <v>0</v>
      </c>
    </row>
    <row r="124" spans="3:7" ht="15.75" thickBot="1" x14ac:dyDescent="0.3">
      <c r="C124" s="1000" t="s">
        <v>118</v>
      </c>
      <c r="D124" s="1001"/>
      <c r="E124" s="1001"/>
      <c r="F124" s="1001"/>
      <c r="G124" s="1002"/>
    </row>
    <row r="125" spans="3:7" x14ac:dyDescent="0.25">
      <c r="C125" s="998"/>
      <c r="D125" s="63">
        <v>2018</v>
      </c>
      <c r="E125" s="63">
        <v>2019</v>
      </c>
      <c r="F125" s="63">
        <v>2020</v>
      </c>
      <c r="G125" s="63">
        <v>2021</v>
      </c>
    </row>
    <row r="126" spans="3:7" ht="15.75" thickBot="1" x14ac:dyDescent="0.3">
      <c r="C126" s="999"/>
      <c r="D126" s="64" t="s">
        <v>10</v>
      </c>
      <c r="E126" s="64" t="s">
        <v>11</v>
      </c>
      <c r="F126" s="64" t="s">
        <v>11</v>
      </c>
      <c r="G126" s="64" t="s">
        <v>11</v>
      </c>
    </row>
    <row r="127" spans="3:7" ht="15.75" thickBot="1" x14ac:dyDescent="0.3">
      <c r="C127" s="65" t="s">
        <v>58</v>
      </c>
      <c r="D127" s="161">
        <v>9900</v>
      </c>
      <c r="E127" s="164">
        <v>14850</v>
      </c>
      <c r="F127" s="164">
        <v>19800</v>
      </c>
      <c r="G127" s="164">
        <v>24750</v>
      </c>
    </row>
    <row r="128" spans="3:7" ht="15.75" thickBot="1" x14ac:dyDescent="0.3">
      <c r="C128" s="65" t="s">
        <v>59</v>
      </c>
      <c r="D128" s="165"/>
      <c r="E128" s="164"/>
      <c r="F128" s="164"/>
      <c r="G128" s="164"/>
    </row>
    <row r="129" spans="3:7" ht="15.75" thickBot="1" x14ac:dyDescent="0.3">
      <c r="C129" s="66" t="s">
        <v>40</v>
      </c>
      <c r="D129" s="165">
        <v>9900</v>
      </c>
      <c r="E129" s="165">
        <v>14850</v>
      </c>
      <c r="F129" s="165">
        <v>19800</v>
      </c>
      <c r="G129" s="165">
        <v>24750</v>
      </c>
    </row>
    <row r="130" spans="3:7" ht="15.75" thickBot="1" x14ac:dyDescent="0.3">
      <c r="C130" s="175"/>
      <c r="D130" s="176"/>
      <c r="E130" s="176"/>
      <c r="F130" s="176"/>
      <c r="G130" s="176"/>
    </row>
    <row r="131" spans="3:7" ht="30.75" thickBot="1" x14ac:dyDescent="0.3">
      <c r="C131" s="158" t="s">
        <v>82</v>
      </c>
      <c r="D131" s="177">
        <v>58895.453999999998</v>
      </c>
      <c r="E131" s="177">
        <v>68149.111111111109</v>
      </c>
      <c r="F131" s="177">
        <v>73099.111111111109</v>
      </c>
      <c r="G131" s="177">
        <v>78049.111111111109</v>
      </c>
    </row>
    <row r="132" spans="3:7" ht="30.75" thickBot="1" x14ac:dyDescent="0.3">
      <c r="C132" s="158" t="s">
        <v>83</v>
      </c>
      <c r="D132" s="177">
        <v>58895.453999999998</v>
      </c>
      <c r="E132" s="177">
        <v>68149.111111111109</v>
      </c>
      <c r="F132" s="177">
        <v>73099.111111111109</v>
      </c>
      <c r="G132" s="177">
        <v>78049.111111111109</v>
      </c>
    </row>
    <row r="133" spans="3:7" ht="30.75" thickBot="1" x14ac:dyDescent="0.3">
      <c r="C133" s="178" t="s">
        <v>84</v>
      </c>
      <c r="D133" s="179"/>
      <c r="E133" s="180">
        <v>0.15712005736658585</v>
      </c>
      <c r="F133" s="180">
        <v>7.2634843203302601E-2</v>
      </c>
      <c r="G133" s="180">
        <v>6.7716281699731873E-2</v>
      </c>
    </row>
    <row r="134" spans="3:7" ht="15.75" thickBot="1" x14ac:dyDescent="0.3">
      <c r="C134" s="65" t="s">
        <v>26</v>
      </c>
      <c r="D134" s="164">
        <v>25783</v>
      </c>
      <c r="E134" s="164">
        <v>25561</v>
      </c>
      <c r="F134" s="164">
        <v>25561</v>
      </c>
      <c r="G134" s="164">
        <v>25561</v>
      </c>
    </row>
    <row r="135" spans="3:7" ht="15.75" thickBot="1" x14ac:dyDescent="0.3">
      <c r="C135" s="181" t="s">
        <v>85</v>
      </c>
      <c r="D135" s="165"/>
      <c r="E135" s="182">
        <v>-8.6103246325097693E-3</v>
      </c>
      <c r="F135" s="182">
        <v>0</v>
      </c>
      <c r="G135" s="182">
        <v>0</v>
      </c>
    </row>
    <row r="136" spans="3:7" ht="15.75" thickBot="1" x14ac:dyDescent="0.3">
      <c r="C136" s="65" t="s">
        <v>28</v>
      </c>
      <c r="D136" s="164">
        <v>3666.2310000000002</v>
      </c>
      <c r="E136" s="164">
        <v>4127</v>
      </c>
      <c r="F136" s="164">
        <v>4127</v>
      </c>
      <c r="G136" s="164">
        <v>4127</v>
      </c>
    </row>
    <row r="137" spans="3:7" ht="30.75" thickBot="1" x14ac:dyDescent="0.3">
      <c r="C137" s="181" t="s">
        <v>86</v>
      </c>
      <c r="D137" s="165"/>
      <c r="E137" s="182">
        <v>0.12567920570198643</v>
      </c>
      <c r="F137" s="182">
        <v>0</v>
      </c>
      <c r="G137" s="182">
        <v>0</v>
      </c>
    </row>
    <row r="138" spans="3:7" ht="15.75" thickBot="1" x14ac:dyDescent="0.3">
      <c r="C138" s="65" t="s">
        <v>30</v>
      </c>
      <c r="D138" s="164">
        <v>17446.223000000002</v>
      </c>
      <c r="E138" s="164">
        <v>20000</v>
      </c>
      <c r="F138" s="164">
        <v>20000</v>
      </c>
      <c r="G138" s="164">
        <v>20000</v>
      </c>
    </row>
    <row r="139" spans="3:7" ht="15.75" thickBot="1" x14ac:dyDescent="0.3">
      <c r="C139" s="181" t="s">
        <v>87</v>
      </c>
      <c r="D139" s="165"/>
      <c r="E139" s="182">
        <v>0.14637993564566942</v>
      </c>
      <c r="F139" s="182">
        <v>0</v>
      </c>
      <c r="G139" s="182">
        <v>0</v>
      </c>
    </row>
    <row r="140" spans="3:7" ht="15.75" thickBot="1" x14ac:dyDescent="0.3">
      <c r="C140" s="65" t="s">
        <v>32</v>
      </c>
      <c r="D140" s="164">
        <v>0</v>
      </c>
      <c r="E140" s="164">
        <v>0</v>
      </c>
      <c r="F140" s="164">
        <v>0</v>
      </c>
      <c r="G140" s="164">
        <v>0</v>
      </c>
    </row>
    <row r="141" spans="3:7" ht="15.75" thickBot="1" x14ac:dyDescent="0.3">
      <c r="C141" s="181" t="s">
        <v>88</v>
      </c>
      <c r="D141" s="165"/>
      <c r="E141" s="182" t="e">
        <v>#DIV/0!</v>
      </c>
      <c r="F141" s="182" t="e">
        <v>#DIV/0!</v>
      </c>
      <c r="G141" s="182" t="e">
        <v>#DIV/0!</v>
      </c>
    </row>
    <row r="142" spans="3:7" ht="15.75" thickBot="1" x14ac:dyDescent="0.3">
      <c r="C142" s="65" t="s">
        <v>34</v>
      </c>
      <c r="D142" s="164">
        <v>0</v>
      </c>
      <c r="E142" s="164">
        <v>0</v>
      </c>
      <c r="F142" s="164">
        <v>0</v>
      </c>
      <c r="G142" s="164">
        <v>0</v>
      </c>
    </row>
    <row r="143" spans="3:7" ht="15.75" thickBot="1" x14ac:dyDescent="0.3">
      <c r="C143" s="181" t="s">
        <v>89</v>
      </c>
      <c r="D143" s="165"/>
      <c r="E143" s="182" t="e">
        <v>#DIV/0!</v>
      </c>
      <c r="F143" s="182" t="e">
        <v>#DIV/0!</v>
      </c>
      <c r="G143" s="182" t="e">
        <v>#DIV/0!</v>
      </c>
    </row>
    <row r="144" spans="3:7" ht="15.75" thickBot="1" x14ac:dyDescent="0.3">
      <c r="C144" s="65" t="s">
        <v>36</v>
      </c>
      <c r="D144" s="164">
        <v>0</v>
      </c>
      <c r="E144" s="164">
        <v>0</v>
      </c>
      <c r="F144" s="164">
        <v>0</v>
      </c>
      <c r="G144" s="164">
        <v>0</v>
      </c>
    </row>
    <row r="145" spans="3:9" ht="15.75" thickBot="1" x14ac:dyDescent="0.3">
      <c r="C145" s="181" t="s">
        <v>90</v>
      </c>
      <c r="D145" s="165"/>
      <c r="E145" s="182" t="e">
        <v>#DIV/0!</v>
      </c>
      <c r="F145" s="182" t="e">
        <v>#DIV/0!</v>
      </c>
      <c r="G145" s="182" t="e">
        <v>#DIV/0!</v>
      </c>
    </row>
    <row r="146" spans="3:9" ht="15.75" thickBot="1" x14ac:dyDescent="0.3">
      <c r="C146" s="65" t="s">
        <v>38</v>
      </c>
      <c r="D146" s="164">
        <v>0</v>
      </c>
      <c r="E146" s="164">
        <v>0</v>
      </c>
      <c r="F146" s="164">
        <v>0</v>
      </c>
      <c r="G146" s="164">
        <v>0</v>
      </c>
    </row>
    <row r="147" spans="3:9" ht="30.75" thickBot="1" x14ac:dyDescent="0.3">
      <c r="C147" s="181" t="s">
        <v>91</v>
      </c>
      <c r="D147" s="165"/>
      <c r="E147" s="182" t="e">
        <v>#DIV/0!</v>
      </c>
      <c r="F147" s="182" t="e">
        <v>#DIV/0!</v>
      </c>
      <c r="G147" s="182" t="e">
        <v>#DIV/0!</v>
      </c>
    </row>
    <row r="148" spans="3:9" ht="15.75" thickBot="1" x14ac:dyDescent="0.3">
      <c r="C148" s="65" t="s">
        <v>92</v>
      </c>
      <c r="D148" s="164">
        <v>9900</v>
      </c>
      <c r="E148" s="164">
        <v>14850</v>
      </c>
      <c r="F148" s="164">
        <v>19800</v>
      </c>
      <c r="G148" s="164">
        <v>24750</v>
      </c>
      <c r="H148" s="163"/>
    </row>
    <row r="149" spans="3:9" ht="15.75" thickBot="1" x14ac:dyDescent="0.3">
      <c r="C149" s="181" t="s">
        <v>93</v>
      </c>
      <c r="D149" s="165"/>
      <c r="E149" s="182">
        <v>0.5</v>
      </c>
      <c r="F149" s="182">
        <v>0.33333333333333326</v>
      </c>
      <c r="G149" s="182">
        <v>0.25</v>
      </c>
    </row>
    <row r="150" spans="3:9" ht="15.75" thickBot="1" x14ac:dyDescent="0.3">
      <c r="C150" s="65" t="s">
        <v>94</v>
      </c>
      <c r="D150" s="164">
        <v>2100</v>
      </c>
      <c r="E150" s="164">
        <v>3611.1111111111113</v>
      </c>
      <c r="F150" s="164">
        <v>3611.1111111111113</v>
      </c>
      <c r="G150" s="164">
        <v>3611.1111111111113</v>
      </c>
    </row>
    <row r="151" spans="3:9" ht="15.75" thickBot="1" x14ac:dyDescent="0.3">
      <c r="C151" s="181" t="s">
        <v>95</v>
      </c>
      <c r="D151" s="165"/>
      <c r="E151" s="182">
        <v>0.71957671957671976</v>
      </c>
      <c r="F151" s="182">
        <v>0</v>
      </c>
      <c r="G151" s="182">
        <v>0</v>
      </c>
    </row>
    <row r="152" spans="3:9" ht="15.75" thickBot="1" x14ac:dyDescent="0.3">
      <c r="C152" s="166" t="s">
        <v>41</v>
      </c>
      <c r="D152" s="167">
        <v>0</v>
      </c>
      <c r="E152" s="167">
        <v>0</v>
      </c>
      <c r="F152" s="167">
        <v>0</v>
      </c>
      <c r="G152" s="167">
        <v>0</v>
      </c>
    </row>
    <row r="153" spans="3:9" ht="30.75" thickBot="1" x14ac:dyDescent="0.3">
      <c r="C153" s="183" t="s">
        <v>96</v>
      </c>
      <c r="D153" s="164">
        <v>25</v>
      </c>
      <c r="E153" s="164">
        <v>25</v>
      </c>
      <c r="F153" s="164">
        <v>25</v>
      </c>
      <c r="G153" s="164">
        <v>25</v>
      </c>
      <c r="H153" s="163"/>
      <c r="I153" s="163"/>
    </row>
    <row r="154" spans="3:9" ht="30.75" thickBot="1" x14ac:dyDescent="0.3">
      <c r="C154" s="183" t="s">
        <v>97</v>
      </c>
      <c r="D154" s="164">
        <v>0</v>
      </c>
      <c r="E154" s="164" t="s">
        <v>23</v>
      </c>
      <c r="F154" s="164" t="s">
        <v>23</v>
      </c>
      <c r="G154" s="164" t="s">
        <v>23</v>
      </c>
    </row>
    <row r="155" spans="3:9" x14ac:dyDescent="0.25">
      <c r="C155" s="184"/>
      <c r="D155" s="185"/>
      <c r="E155" s="185"/>
      <c r="F155" s="185"/>
      <c r="G155" s="185"/>
    </row>
  </sheetData>
  <mergeCells count="51">
    <mergeCell ref="B4:H4"/>
    <mergeCell ref="D7:G7"/>
    <mergeCell ref="D8:G8"/>
    <mergeCell ref="C9:G9"/>
    <mergeCell ref="D25:G25"/>
    <mergeCell ref="D18:G18"/>
    <mergeCell ref="C19:G19"/>
    <mergeCell ref="D6:G6"/>
    <mergeCell ref="D13:G13"/>
    <mergeCell ref="C14:C15"/>
    <mergeCell ref="C10:G12"/>
    <mergeCell ref="C21:G21"/>
    <mergeCell ref="C22:G22"/>
    <mergeCell ref="D23:G23"/>
    <mergeCell ref="D24:G24"/>
    <mergeCell ref="D71:G71"/>
    <mergeCell ref="C26:C27"/>
    <mergeCell ref="C34:G34"/>
    <mergeCell ref="C35:C36"/>
    <mergeCell ref="D46:G46"/>
    <mergeCell ref="D47:G47"/>
    <mergeCell ref="D48:G48"/>
    <mergeCell ref="C50:C51"/>
    <mergeCell ref="C57:G57"/>
    <mergeCell ref="C58:C59"/>
    <mergeCell ref="C69:G69"/>
    <mergeCell ref="C70:G70"/>
    <mergeCell ref="D95:G95"/>
    <mergeCell ref="D72:G72"/>
    <mergeCell ref="D73:G73"/>
    <mergeCell ref="D74:G74"/>
    <mergeCell ref="C75:C76"/>
    <mergeCell ref="C83:G83"/>
    <mergeCell ref="C84:C85"/>
    <mergeCell ref="C89:C91"/>
    <mergeCell ref="D89:G91"/>
    <mergeCell ref="D92:G92"/>
    <mergeCell ref="D93:G93"/>
    <mergeCell ref="D94:G94"/>
    <mergeCell ref="C125:C126"/>
    <mergeCell ref="C96:C97"/>
    <mergeCell ref="C104:G104"/>
    <mergeCell ref="C105:C106"/>
    <mergeCell ref="C110:G110"/>
    <mergeCell ref="C111:G111"/>
    <mergeCell ref="D112:G112"/>
    <mergeCell ref="D113:G113"/>
    <mergeCell ref="D114:G114"/>
    <mergeCell ref="D115:G115"/>
    <mergeCell ref="C116:C117"/>
    <mergeCell ref="C124:G124"/>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31"/>
  <sheetViews>
    <sheetView topLeftCell="A306" zoomScale="138" zoomScaleNormal="138" workbookViewId="0">
      <selection activeCell="H348" sqref="H348"/>
    </sheetView>
  </sheetViews>
  <sheetFormatPr defaultRowHeight="15" x14ac:dyDescent="0.25"/>
  <cols>
    <col min="1" max="1" width="11.7109375" customWidth="1"/>
    <col min="2" max="2" width="21.42578125" customWidth="1"/>
    <col min="3" max="3" width="17.5703125" customWidth="1"/>
    <col min="4" max="4" width="17.85546875" customWidth="1"/>
    <col min="5" max="5" width="20.28515625" customWidth="1"/>
    <col min="6" max="6" width="13.42578125" customWidth="1"/>
    <col min="8" max="8" width="18.42578125" customWidth="1"/>
    <col min="9" max="9" width="11" customWidth="1"/>
    <col min="10" max="10" width="11" bestFit="1" customWidth="1"/>
  </cols>
  <sheetData>
    <row r="2" spans="2:7" ht="18" customHeight="1" x14ac:dyDescent="0.25">
      <c r="B2" s="762" t="s">
        <v>0</v>
      </c>
      <c r="C2" s="762"/>
      <c r="D2" s="762"/>
      <c r="E2" s="762"/>
      <c r="F2" s="762"/>
      <c r="G2" s="1"/>
    </row>
    <row r="3" spans="2:7" ht="15.75" thickBot="1" x14ac:dyDescent="0.3"/>
    <row r="4" spans="2:7" ht="26.25" thickBot="1" x14ac:dyDescent="0.3">
      <c r="B4" s="2" t="s">
        <v>2</v>
      </c>
      <c r="C4" s="1663" t="s">
        <v>1016</v>
      </c>
      <c r="D4" s="1663"/>
      <c r="E4" s="1663"/>
      <c r="F4" s="1663"/>
    </row>
    <row r="5" spans="2:7" ht="15.75" thickBot="1" x14ac:dyDescent="0.3">
      <c r="B5" s="2" t="s">
        <v>3</v>
      </c>
      <c r="C5" s="1664" t="s">
        <v>436</v>
      </c>
      <c r="D5" s="1665"/>
      <c r="E5" s="1665"/>
      <c r="F5" s="1666"/>
    </row>
    <row r="6" spans="2:7" ht="26.25" thickBot="1" x14ac:dyDescent="0.3">
      <c r="B6" s="2" t="s">
        <v>5</v>
      </c>
      <c r="C6" s="1667" t="s">
        <v>6</v>
      </c>
      <c r="D6" s="1668"/>
      <c r="E6" s="1668"/>
      <c r="F6" s="1669"/>
    </row>
    <row r="7" spans="2:7" ht="15.75" thickBot="1" x14ac:dyDescent="0.3">
      <c r="B7" s="916" t="s">
        <v>7</v>
      </c>
      <c r="C7" s="917"/>
      <c r="D7" s="917"/>
      <c r="E7" s="917"/>
      <c r="F7" s="918"/>
    </row>
    <row r="8" spans="2:7" ht="15.75" thickBot="1" x14ac:dyDescent="0.3">
      <c r="B8" s="906" t="s">
        <v>1017</v>
      </c>
      <c r="C8" s="907"/>
      <c r="D8" s="907"/>
      <c r="E8" s="907"/>
      <c r="F8" s="908"/>
    </row>
    <row r="9" spans="2:7" ht="36.75" customHeight="1" thickBot="1" x14ac:dyDescent="0.3">
      <c r="B9" s="906"/>
      <c r="C9" s="907"/>
      <c r="D9" s="907"/>
      <c r="E9" s="907"/>
      <c r="F9" s="908"/>
    </row>
    <row r="10" spans="2:7" ht="15.75" thickBot="1" x14ac:dyDescent="0.3">
      <c r="B10" s="906"/>
      <c r="C10" s="907"/>
      <c r="D10" s="907"/>
      <c r="E10" s="907"/>
      <c r="F10" s="908"/>
    </row>
    <row r="11" spans="2:7" ht="47.25" customHeight="1" thickBot="1" x14ac:dyDescent="0.3">
      <c r="B11" s="3" t="s">
        <v>8</v>
      </c>
      <c r="C11" s="1670" t="s">
        <v>1018</v>
      </c>
      <c r="D11" s="1671"/>
      <c r="E11" s="1671"/>
      <c r="F11" s="1672"/>
    </row>
    <row r="12" spans="2:7" ht="23.25" customHeight="1" x14ac:dyDescent="0.25">
      <c r="B12" s="1673" t="s">
        <v>102</v>
      </c>
      <c r="C12" s="624">
        <v>2018</v>
      </c>
      <c r="D12" s="624">
        <v>2019</v>
      </c>
      <c r="E12" s="624">
        <v>2020</v>
      </c>
      <c r="F12" s="624">
        <v>2021</v>
      </c>
    </row>
    <row r="13" spans="2:7" ht="15.75" thickBot="1" x14ac:dyDescent="0.3">
      <c r="B13" s="1674"/>
      <c r="C13" s="624" t="s">
        <v>10</v>
      </c>
      <c r="D13" s="624" t="s">
        <v>11</v>
      </c>
      <c r="E13" s="624" t="s">
        <v>11</v>
      </c>
      <c r="F13" s="624" t="s">
        <v>11</v>
      </c>
    </row>
    <row r="14" spans="2:7" ht="46.9" customHeight="1" thickBot="1" x14ac:dyDescent="0.3">
      <c r="B14" s="625" t="str">
        <f>'[10]Formati 2 Politika Ekzistuese'!C15</f>
        <v>Financim   dhe monitorim projektesh nga pikpamja e realizimit te aktiviteteve dhe dokumentave financiare</v>
      </c>
      <c r="C14" s="626" t="s">
        <v>1019</v>
      </c>
      <c r="D14" s="626">
        <v>0.5</v>
      </c>
      <c r="E14" s="626">
        <v>0.6</v>
      </c>
      <c r="F14" s="626">
        <v>0.8</v>
      </c>
    </row>
    <row r="15" spans="2:7" ht="43.15" customHeight="1" thickBot="1" x14ac:dyDescent="0.3">
      <c r="B15" s="627" t="str">
        <f>'[10]Formati 2 Politika Ekzistuese'!C17</f>
        <v xml:space="preserve">Asistence teknike e Shoqerise Civile ne vend permes realizimit te trajnimeve informuese, workshopeve, </v>
      </c>
      <c r="C15" s="626" t="s">
        <v>1020</v>
      </c>
      <c r="D15" s="626">
        <v>1</v>
      </c>
      <c r="E15" s="626">
        <v>1</v>
      </c>
      <c r="F15" s="626">
        <v>1</v>
      </c>
    </row>
    <row r="16" spans="2:7" ht="23.25" hidden="1" thickBot="1" x14ac:dyDescent="0.3">
      <c r="B16" s="627" t="s">
        <v>115</v>
      </c>
      <c r="C16" s="626" t="s">
        <v>116</v>
      </c>
      <c r="D16" s="626" t="s">
        <v>117</v>
      </c>
      <c r="E16" s="626" t="s">
        <v>117</v>
      </c>
      <c r="F16" s="626" t="s">
        <v>117</v>
      </c>
    </row>
    <row r="17" spans="2:11" ht="43.9" customHeight="1" thickBot="1" x14ac:dyDescent="0.3">
      <c r="B17" s="627" t="s">
        <v>1021</v>
      </c>
      <c r="C17" s="626" t="s">
        <v>1022</v>
      </c>
      <c r="D17" s="626">
        <v>0.7</v>
      </c>
      <c r="E17" s="626">
        <v>0.8</v>
      </c>
      <c r="F17" s="626">
        <v>1</v>
      </c>
    </row>
    <row r="18" spans="2:11" ht="24.75" thickBot="1" x14ac:dyDescent="0.3">
      <c r="B18" s="6" t="s">
        <v>12</v>
      </c>
      <c r="C18" s="1675" t="s">
        <v>1023</v>
      </c>
      <c r="D18" s="1676"/>
      <c r="E18" s="1676"/>
      <c r="F18" s="1677"/>
    </row>
    <row r="19" spans="2:11" ht="23.25" customHeight="1" thickBot="1" x14ac:dyDescent="0.3">
      <c r="B19" s="927" t="s">
        <v>103</v>
      </c>
      <c r="C19" s="928"/>
      <c r="D19" s="928"/>
      <c r="E19" s="928"/>
      <c r="F19" s="929"/>
      <c r="I19" s="35"/>
      <c r="K19" s="35"/>
    </row>
    <row r="20" spans="2:11" ht="23.25" thickBot="1" x14ac:dyDescent="0.3">
      <c r="B20" s="595" t="s">
        <v>1024</v>
      </c>
      <c r="C20" s="4" t="s">
        <v>1019</v>
      </c>
      <c r="D20" s="4">
        <v>0.5</v>
      </c>
      <c r="E20" s="4">
        <v>0.6</v>
      </c>
      <c r="F20" s="4">
        <v>0.8</v>
      </c>
    </row>
    <row r="21" spans="2:11" ht="23.25" thickBot="1" x14ac:dyDescent="0.3">
      <c r="B21" s="5" t="s">
        <v>1025</v>
      </c>
      <c r="C21" s="4" t="s">
        <v>1020</v>
      </c>
      <c r="D21" s="4">
        <v>1</v>
      </c>
      <c r="E21" s="4">
        <v>1</v>
      </c>
      <c r="F21" s="4">
        <v>1</v>
      </c>
    </row>
    <row r="22" spans="2:11" ht="27.6" customHeight="1" thickBot="1" x14ac:dyDescent="0.3">
      <c r="B22" s="5" t="s">
        <v>1026</v>
      </c>
      <c r="C22" s="4" t="s">
        <v>1027</v>
      </c>
      <c r="D22" s="4">
        <v>0.5</v>
      </c>
      <c r="E22" s="4">
        <v>0.6</v>
      </c>
      <c r="F22" s="4">
        <v>0.8</v>
      </c>
    </row>
    <row r="23" spans="2:11" ht="15.75" thickBot="1" x14ac:dyDescent="0.3">
      <c r="B23" s="930" t="s">
        <v>14</v>
      </c>
      <c r="C23" s="931"/>
      <c r="D23" s="931"/>
      <c r="E23" s="931"/>
      <c r="F23" s="932"/>
    </row>
    <row r="24" spans="2:11" ht="15.75" thickBot="1" x14ac:dyDescent="0.3">
      <c r="B24" s="933" t="s">
        <v>104</v>
      </c>
      <c r="C24" s="934"/>
      <c r="D24" s="934"/>
      <c r="E24" s="934"/>
      <c r="F24" s="935"/>
    </row>
    <row r="25" spans="2:11" ht="33.6" customHeight="1" thickBot="1" x14ac:dyDescent="0.3">
      <c r="B25" s="628" t="s">
        <v>105</v>
      </c>
      <c r="C25" s="1000" t="s">
        <v>1028</v>
      </c>
      <c r="D25" s="946"/>
      <c r="E25" s="946"/>
      <c r="F25" s="947"/>
    </row>
    <row r="26" spans="2:11" ht="91.15" customHeight="1" thickBot="1" x14ac:dyDescent="0.3">
      <c r="B26" s="5" t="s">
        <v>17</v>
      </c>
      <c r="C26" s="913" t="s">
        <v>1029</v>
      </c>
      <c r="D26" s="914"/>
      <c r="E26" s="914"/>
      <c r="F26" s="915"/>
    </row>
    <row r="27" spans="2:11" ht="15.75" thickBot="1" x14ac:dyDescent="0.3">
      <c r="B27" s="5" t="s">
        <v>18</v>
      </c>
      <c r="C27" s="942" t="s">
        <v>1030</v>
      </c>
      <c r="D27" s="943"/>
      <c r="E27" s="943"/>
      <c r="F27" s="944"/>
    </row>
    <row r="28" spans="2:11" ht="12.75" customHeight="1" x14ac:dyDescent="0.25">
      <c r="B28" s="919"/>
      <c r="C28" s="8">
        <v>2018</v>
      </c>
      <c r="D28" s="8">
        <v>2019</v>
      </c>
      <c r="E28" s="8">
        <v>2020</v>
      </c>
      <c r="F28" s="8">
        <v>2021</v>
      </c>
    </row>
    <row r="29" spans="2:11" ht="9" customHeight="1" thickBot="1" x14ac:dyDescent="0.3">
      <c r="B29" s="920"/>
      <c r="C29" s="9" t="s">
        <v>10</v>
      </c>
      <c r="D29" s="9" t="s">
        <v>11</v>
      </c>
      <c r="E29" s="9" t="s">
        <v>11</v>
      </c>
      <c r="F29" s="9" t="s">
        <v>11</v>
      </c>
    </row>
    <row r="30" spans="2:11" ht="15.75" thickBot="1" x14ac:dyDescent="0.3">
      <c r="B30" s="5" t="s">
        <v>19</v>
      </c>
      <c r="C30" s="10">
        <v>45</v>
      </c>
      <c r="D30" s="10">
        <v>60</v>
      </c>
      <c r="E30" s="10">
        <v>70</v>
      </c>
      <c r="F30" s="10">
        <v>100</v>
      </c>
    </row>
    <row r="31" spans="2:11" ht="15.75" thickBot="1" x14ac:dyDescent="0.3">
      <c r="B31" s="5" t="s">
        <v>20</v>
      </c>
      <c r="C31" s="10">
        <f>122500*40%</f>
        <v>49000</v>
      </c>
      <c r="D31" s="10">
        <f>123000*40%</f>
        <v>49200</v>
      </c>
      <c r="E31" s="10">
        <f>124000*40%</f>
        <v>49600</v>
      </c>
      <c r="F31" s="10">
        <f>125000*40%</f>
        <v>50000</v>
      </c>
    </row>
    <row r="32" spans="2:11" ht="15.75" thickBot="1" x14ac:dyDescent="0.3">
      <c r="B32" s="5" t="s">
        <v>21</v>
      </c>
      <c r="C32" s="10">
        <f>C31/C30</f>
        <v>1088.8888888888889</v>
      </c>
      <c r="D32" s="10">
        <f>D31/D30</f>
        <v>820</v>
      </c>
      <c r="E32" s="10">
        <f>E31/E30</f>
        <v>708.57142857142856</v>
      </c>
      <c r="F32" s="10">
        <f>F31/F30</f>
        <v>500</v>
      </c>
    </row>
    <row r="33" spans="2:12" ht="15.75" thickBot="1" x14ac:dyDescent="0.3">
      <c r="B33" s="5" t="s">
        <v>22</v>
      </c>
      <c r="C33" s="594" t="s">
        <v>23</v>
      </c>
      <c r="D33" s="11">
        <f t="shared" ref="D33:F35" si="0">D30/C30-1</f>
        <v>0.33333333333333326</v>
      </c>
      <c r="E33" s="11">
        <f t="shared" si="0"/>
        <v>0.16666666666666674</v>
      </c>
      <c r="F33" s="11">
        <f t="shared" si="0"/>
        <v>0.4285714285714286</v>
      </c>
      <c r="H33" s="12"/>
      <c r="I33" s="12"/>
      <c r="J33" s="12"/>
      <c r="K33" s="12"/>
      <c r="L33" s="12"/>
    </row>
    <row r="34" spans="2:12" ht="15.75" thickBot="1" x14ac:dyDescent="0.3">
      <c r="B34" s="5" t="s">
        <v>24</v>
      </c>
      <c r="C34" s="594" t="s">
        <v>23</v>
      </c>
      <c r="D34" s="11">
        <f t="shared" si="0"/>
        <v>4.0816326530612734E-3</v>
      </c>
      <c r="E34" s="11">
        <f t="shared" si="0"/>
        <v>8.1300813008129413E-3</v>
      </c>
      <c r="F34" s="11">
        <f t="shared" si="0"/>
        <v>8.0645161290322509E-3</v>
      </c>
    </row>
    <row r="35" spans="2:12" ht="23.25" thickBot="1" x14ac:dyDescent="0.3">
      <c r="B35" s="5" t="s">
        <v>25</v>
      </c>
      <c r="C35" s="594" t="s">
        <v>23</v>
      </c>
      <c r="D35" s="11">
        <f t="shared" si="0"/>
        <v>-0.24693877551020404</v>
      </c>
      <c r="E35" s="11">
        <f t="shared" si="0"/>
        <v>-0.13588850174216027</v>
      </c>
      <c r="F35" s="11">
        <f t="shared" si="0"/>
        <v>-0.29435483870967738</v>
      </c>
    </row>
    <row r="36" spans="2:12" ht="15.75" thickBot="1" x14ac:dyDescent="0.3">
      <c r="B36" s="945" t="s">
        <v>1031</v>
      </c>
      <c r="C36" s="946"/>
      <c r="D36" s="946"/>
      <c r="E36" s="946"/>
      <c r="F36" s="947"/>
    </row>
    <row r="37" spans="2:12" ht="12.75" customHeight="1" x14ac:dyDescent="0.25">
      <c r="B37" s="919"/>
      <c r="C37" s="8">
        <v>2018</v>
      </c>
      <c r="D37" s="8">
        <v>2019</v>
      </c>
      <c r="E37" s="8">
        <v>2020</v>
      </c>
      <c r="F37" s="8">
        <v>2021</v>
      </c>
    </row>
    <row r="38" spans="2:12" ht="9" customHeight="1" thickBot="1" x14ac:dyDescent="0.3">
      <c r="B38" s="920"/>
      <c r="C38" s="9" t="s">
        <v>10</v>
      </c>
      <c r="D38" s="9" t="s">
        <v>11</v>
      </c>
      <c r="E38" s="9" t="s">
        <v>11</v>
      </c>
      <c r="F38" s="9" t="s">
        <v>11</v>
      </c>
    </row>
    <row r="39" spans="2:12" ht="15.75" thickBot="1" x14ac:dyDescent="0.3">
      <c r="B39" s="13" t="s">
        <v>26</v>
      </c>
      <c r="C39" s="14">
        <f>13800*40%</f>
        <v>5520</v>
      </c>
      <c r="D39" s="14">
        <f>13800*40%</f>
        <v>5520</v>
      </c>
      <c r="E39" s="14">
        <f>13800*40%</f>
        <v>5520</v>
      </c>
      <c r="F39" s="14">
        <f>13800*40%</f>
        <v>5520</v>
      </c>
    </row>
    <row r="40" spans="2:12" ht="24.75" thickBot="1" x14ac:dyDescent="0.3">
      <c r="B40" s="13" t="s">
        <v>28</v>
      </c>
      <c r="C40" s="14">
        <f>2700*40%</f>
        <v>1080</v>
      </c>
      <c r="D40" s="14">
        <f>2700*40%</f>
        <v>1080</v>
      </c>
      <c r="E40" s="14">
        <f>2700*40%</f>
        <v>1080</v>
      </c>
      <c r="F40" s="14">
        <f>2700*40%</f>
        <v>1080</v>
      </c>
    </row>
    <row r="41" spans="2:12" ht="15.75" thickBot="1" x14ac:dyDescent="0.3">
      <c r="B41" s="13" t="s">
        <v>30</v>
      </c>
      <c r="C41" s="15">
        <f>5000*40%</f>
        <v>2000</v>
      </c>
      <c r="D41" s="14">
        <f>5500*40%</f>
        <v>2200</v>
      </c>
      <c r="E41" s="14">
        <f>6500*40%</f>
        <v>2600</v>
      </c>
      <c r="F41" s="14">
        <f>7500*40%</f>
        <v>3000</v>
      </c>
    </row>
    <row r="42" spans="2:12" ht="15.75" thickBot="1" x14ac:dyDescent="0.3">
      <c r="B42" s="13" t="s">
        <v>32</v>
      </c>
      <c r="C42" s="15"/>
      <c r="D42" s="14"/>
      <c r="E42" s="14"/>
      <c r="F42" s="14"/>
    </row>
    <row r="43" spans="2:12" ht="20.45" customHeight="1" thickBot="1" x14ac:dyDescent="0.3">
      <c r="B43" s="13" t="s">
        <v>34</v>
      </c>
      <c r="C43" s="15">
        <f>101000*40%</f>
        <v>40400</v>
      </c>
      <c r="D43" s="14">
        <f>101000*40%</f>
        <v>40400</v>
      </c>
      <c r="E43" s="14">
        <f>101000*40%</f>
        <v>40400</v>
      </c>
      <c r="F43" s="14">
        <f>101000*40%</f>
        <v>40400</v>
      </c>
    </row>
    <row r="44" spans="2:12" ht="15.75" thickBot="1" x14ac:dyDescent="0.3">
      <c r="B44" s="13" t="s">
        <v>36</v>
      </c>
      <c r="C44" s="15"/>
      <c r="D44" s="14"/>
      <c r="E44" s="14"/>
      <c r="F44" s="14"/>
    </row>
    <row r="45" spans="2:12" ht="24.75" thickBot="1" x14ac:dyDescent="0.3">
      <c r="B45" s="13" t="s">
        <v>38</v>
      </c>
      <c r="C45" s="15"/>
      <c r="D45" s="14"/>
      <c r="E45" s="14"/>
      <c r="F45" s="14"/>
    </row>
    <row r="46" spans="2:12" ht="24.75" thickBot="1" x14ac:dyDescent="0.3">
      <c r="B46" s="16" t="s">
        <v>40</v>
      </c>
      <c r="C46" s="15">
        <f>C45+C44+C43+C42+C41+C40+C39</f>
        <v>49000</v>
      </c>
      <c r="D46" s="15">
        <f>D45+D44+D43+D42+D41+D40+D39</f>
        <v>49200</v>
      </c>
      <c r="E46" s="15">
        <f>E45+E44+E43+E42+E41+E40+E39</f>
        <v>49600</v>
      </c>
      <c r="F46" s="15">
        <f>F45+F44+F43+F42+F41+F40+F39</f>
        <v>50000</v>
      </c>
    </row>
    <row r="47" spans="2:12" ht="15.75" thickBot="1" x14ac:dyDescent="0.3">
      <c r="B47" s="17" t="s">
        <v>41</v>
      </c>
      <c r="C47" s="18">
        <f>IF(C46-C31=0,0,"Error")</f>
        <v>0</v>
      </c>
      <c r="D47" s="18">
        <f>IF(D46-D31=0,0,"Error")</f>
        <v>0</v>
      </c>
      <c r="E47" s="18">
        <f>IF(E46-E31=0,0,"Error")</f>
        <v>0</v>
      </c>
      <c r="F47" s="18">
        <f>IF(F46-F31=0,0,"Error")</f>
        <v>0</v>
      </c>
    </row>
    <row r="48" spans="2:12" ht="17.45" customHeight="1" thickBot="1" x14ac:dyDescent="0.3">
      <c r="B48" s="629" t="s">
        <v>125</v>
      </c>
      <c r="C48" s="989" t="s">
        <v>1032</v>
      </c>
      <c r="D48" s="990"/>
      <c r="E48" s="990"/>
      <c r="F48" s="991"/>
    </row>
    <row r="49" spans="2:6" ht="73.150000000000006" customHeight="1" thickBot="1" x14ac:dyDescent="0.3">
      <c r="B49" s="5" t="s">
        <v>17</v>
      </c>
      <c r="C49" s="913" t="s">
        <v>1033</v>
      </c>
      <c r="D49" s="914"/>
      <c r="E49" s="914"/>
      <c r="F49" s="915"/>
    </row>
    <row r="50" spans="2:6" ht="15.75" thickBot="1" x14ac:dyDescent="0.3">
      <c r="B50" s="5" t="s">
        <v>18</v>
      </c>
      <c r="C50" s="942" t="s">
        <v>1034</v>
      </c>
      <c r="D50" s="943"/>
      <c r="E50" s="943"/>
      <c r="F50" s="944"/>
    </row>
    <row r="51" spans="2:6" ht="15.75" thickBot="1" x14ac:dyDescent="0.3">
      <c r="B51" s="5" t="s">
        <v>19</v>
      </c>
      <c r="C51" s="10"/>
      <c r="D51" s="10"/>
      <c r="E51" s="10"/>
      <c r="F51" s="10"/>
    </row>
    <row r="52" spans="2:6" ht="12.75" customHeight="1" x14ac:dyDescent="0.25">
      <c r="B52" s="919"/>
      <c r="C52" s="8">
        <v>2018</v>
      </c>
      <c r="D52" s="8">
        <v>2019</v>
      </c>
      <c r="E52" s="8">
        <v>2020</v>
      </c>
      <c r="F52" s="8">
        <v>2021</v>
      </c>
    </row>
    <row r="53" spans="2:6" ht="9" customHeight="1" thickBot="1" x14ac:dyDescent="0.3">
      <c r="B53" s="920"/>
      <c r="C53" s="9" t="s">
        <v>10</v>
      </c>
      <c r="D53" s="9" t="s">
        <v>11</v>
      </c>
      <c r="E53" s="9" t="s">
        <v>11</v>
      </c>
      <c r="F53" s="9" t="s">
        <v>11</v>
      </c>
    </row>
    <row r="54" spans="2:6" ht="15.75" thickBot="1" x14ac:dyDescent="0.3">
      <c r="B54" s="5" t="s">
        <v>20</v>
      </c>
      <c r="C54" s="10">
        <f>122500*30%</f>
        <v>36750</v>
      </c>
      <c r="D54" s="10">
        <f>123000*30%</f>
        <v>36900</v>
      </c>
      <c r="E54" s="10">
        <f>124000*30%</f>
        <v>37200</v>
      </c>
      <c r="F54" s="10">
        <f>125000*30%</f>
        <v>37500</v>
      </c>
    </row>
    <row r="55" spans="2:6" ht="15.75" thickBot="1" x14ac:dyDescent="0.3">
      <c r="B55" s="5" t="s">
        <v>21</v>
      </c>
      <c r="C55" s="10" t="e">
        <f>C54/C51</f>
        <v>#DIV/0!</v>
      </c>
      <c r="D55" s="10" t="e">
        <f>D54/D51</f>
        <v>#DIV/0!</v>
      </c>
      <c r="E55" s="10" t="e">
        <f>E54/E51</f>
        <v>#DIV/0!</v>
      </c>
      <c r="F55" s="10" t="e">
        <f>F54/F51</f>
        <v>#DIV/0!</v>
      </c>
    </row>
    <row r="56" spans="2:6" ht="15.75" thickBot="1" x14ac:dyDescent="0.3">
      <c r="B56" s="5" t="s">
        <v>22</v>
      </c>
      <c r="C56" s="594"/>
      <c r="D56" s="11" t="e">
        <f>D51/C51-1</f>
        <v>#DIV/0!</v>
      </c>
      <c r="E56" s="11" t="e">
        <f>E51/D51-1</f>
        <v>#DIV/0!</v>
      </c>
      <c r="F56" s="11" t="e">
        <f>F51/E51-1</f>
        <v>#DIV/0!</v>
      </c>
    </row>
    <row r="57" spans="2:6" ht="15.75" thickBot="1" x14ac:dyDescent="0.3">
      <c r="B57" s="5" t="s">
        <v>24</v>
      </c>
      <c r="C57" s="594"/>
      <c r="D57" s="11">
        <f t="shared" ref="D57:F58" si="1">D54/C54-1</f>
        <v>4.0816326530612734E-3</v>
      </c>
      <c r="E57" s="11">
        <f t="shared" si="1"/>
        <v>8.1300813008129413E-3</v>
      </c>
      <c r="F57" s="11">
        <f t="shared" si="1"/>
        <v>8.0645161290322509E-3</v>
      </c>
    </row>
    <row r="58" spans="2:6" ht="23.25" thickBot="1" x14ac:dyDescent="0.3">
      <c r="B58" s="5" t="s">
        <v>25</v>
      </c>
      <c r="C58" s="594"/>
      <c r="D58" s="11" t="e">
        <f t="shared" si="1"/>
        <v>#DIV/0!</v>
      </c>
      <c r="E58" s="11" t="e">
        <f t="shared" si="1"/>
        <v>#DIV/0!</v>
      </c>
      <c r="F58" s="11" t="e">
        <f t="shared" si="1"/>
        <v>#DIV/0!</v>
      </c>
    </row>
    <row r="59" spans="2:6" ht="24.75" customHeight="1" thickBot="1" x14ac:dyDescent="0.3">
      <c r="B59" s="945" t="s">
        <v>1035</v>
      </c>
      <c r="C59" s="946"/>
      <c r="D59" s="946"/>
      <c r="E59" s="946"/>
      <c r="F59" s="947"/>
    </row>
    <row r="60" spans="2:6" ht="12.75" customHeight="1" x14ac:dyDescent="0.25">
      <c r="B60" s="919"/>
      <c r="C60" s="8">
        <v>2018</v>
      </c>
      <c r="D60" s="8">
        <v>2019</v>
      </c>
      <c r="E60" s="8">
        <v>2020</v>
      </c>
      <c r="F60" s="8">
        <v>2021</v>
      </c>
    </row>
    <row r="61" spans="2:6" ht="9" customHeight="1" thickBot="1" x14ac:dyDescent="0.3">
      <c r="B61" s="920"/>
      <c r="C61" s="9" t="s">
        <v>10</v>
      </c>
      <c r="D61" s="9" t="s">
        <v>11</v>
      </c>
      <c r="E61" s="9" t="s">
        <v>11</v>
      </c>
      <c r="F61" s="9" t="s">
        <v>11</v>
      </c>
    </row>
    <row r="62" spans="2:6" ht="24.75" customHeight="1" thickBot="1" x14ac:dyDescent="0.3">
      <c r="B62" s="13" t="s">
        <v>26</v>
      </c>
      <c r="C62" s="14">
        <f>13800*30%</f>
        <v>4140</v>
      </c>
      <c r="D62" s="14">
        <f>13800*30%</f>
        <v>4140</v>
      </c>
      <c r="E62" s="14">
        <f>13800*30%</f>
        <v>4140</v>
      </c>
      <c r="F62" s="14">
        <f>13800*30%</f>
        <v>4140</v>
      </c>
    </row>
    <row r="63" spans="2:6" ht="24.75" customHeight="1" thickBot="1" x14ac:dyDescent="0.3">
      <c r="B63" s="13" t="s">
        <v>28</v>
      </c>
      <c r="C63" s="14">
        <f>2700*30%</f>
        <v>810</v>
      </c>
      <c r="D63" s="14">
        <f>2700*30%</f>
        <v>810</v>
      </c>
      <c r="E63" s="14">
        <f>2700*30%</f>
        <v>810</v>
      </c>
      <c r="F63" s="14">
        <f>2700*30%</f>
        <v>810</v>
      </c>
    </row>
    <row r="64" spans="2:6" ht="24.75" customHeight="1" thickBot="1" x14ac:dyDescent="0.3">
      <c r="B64" s="13" t="s">
        <v>30</v>
      </c>
      <c r="C64" s="15">
        <f>5000*30%</f>
        <v>1500</v>
      </c>
      <c r="D64" s="14">
        <f>5500*30%</f>
        <v>1650</v>
      </c>
      <c r="E64" s="14">
        <f>6500*30%</f>
        <v>1950</v>
      </c>
      <c r="F64" s="14">
        <f>7500*30%</f>
        <v>2250</v>
      </c>
    </row>
    <row r="65" spans="2:6" ht="15.75" thickBot="1" x14ac:dyDescent="0.3">
      <c r="B65" s="13" t="s">
        <v>32</v>
      </c>
      <c r="C65" s="15"/>
      <c r="D65" s="14"/>
      <c r="E65" s="14"/>
      <c r="F65" s="14"/>
    </row>
    <row r="66" spans="2:6" ht="21" customHeight="1" thickBot="1" x14ac:dyDescent="0.3">
      <c r="B66" s="13" t="s">
        <v>34</v>
      </c>
      <c r="C66" s="15">
        <f>101000*30%</f>
        <v>30300</v>
      </c>
      <c r="D66" s="14">
        <f>101000*30%</f>
        <v>30300</v>
      </c>
      <c r="E66" s="14">
        <f>101000*30%</f>
        <v>30300</v>
      </c>
      <c r="F66" s="14">
        <f>101000*30%</f>
        <v>30300</v>
      </c>
    </row>
    <row r="67" spans="2:6" ht="15.75" thickBot="1" x14ac:dyDescent="0.3">
      <c r="B67" s="13" t="s">
        <v>36</v>
      </c>
      <c r="C67" s="15"/>
      <c r="D67" s="14"/>
      <c r="E67" s="14"/>
      <c r="F67" s="14"/>
    </row>
    <row r="68" spans="2:6" ht="24.75" thickBot="1" x14ac:dyDescent="0.3">
      <c r="B68" s="13" t="s">
        <v>38</v>
      </c>
      <c r="C68" s="15"/>
      <c r="D68" s="14"/>
      <c r="E68" s="14"/>
      <c r="F68" s="14"/>
    </row>
    <row r="69" spans="2:6" ht="24.75" thickBot="1" x14ac:dyDescent="0.3">
      <c r="B69" s="630" t="s">
        <v>74</v>
      </c>
      <c r="C69" s="15">
        <f>C68+C67+C66+C65+C64+C63+C62</f>
        <v>36750</v>
      </c>
      <c r="D69" s="15">
        <f>D68+D67+D66+D65+D64+D63+D62</f>
        <v>36900</v>
      </c>
      <c r="E69" s="15">
        <f>E68+E67+E66+E65+E64+E63+E62</f>
        <v>37200</v>
      </c>
      <c r="F69" s="15">
        <f>F68+F67+F66+F65+F64+F63+F62</f>
        <v>37500</v>
      </c>
    </row>
    <row r="70" spans="2:6" ht="17.25" customHeight="1" thickBot="1" x14ac:dyDescent="0.3">
      <c r="B70" s="17" t="s">
        <v>41</v>
      </c>
      <c r="C70" s="18">
        <f>IF(C69-C54=0,0,"Error")</f>
        <v>0</v>
      </c>
      <c r="D70" s="18">
        <f>IF(D69-D54=0,0,"Error")</f>
        <v>0</v>
      </c>
      <c r="E70" s="18">
        <f>IF(E69-E54=0,0,"Error")</f>
        <v>0</v>
      </c>
      <c r="F70" s="18">
        <f>IF(F69-F54=0,0,"Error")</f>
        <v>0</v>
      </c>
    </row>
    <row r="71" spans="2:6" ht="17.45" customHeight="1" thickBot="1" x14ac:dyDescent="0.3">
      <c r="B71" s="629" t="s">
        <v>1036</v>
      </c>
      <c r="C71" s="989" t="s">
        <v>1037</v>
      </c>
      <c r="D71" s="990"/>
      <c r="E71" s="990"/>
      <c r="F71" s="991"/>
    </row>
    <row r="72" spans="2:6" ht="55.9" customHeight="1" thickBot="1" x14ac:dyDescent="0.3">
      <c r="B72" s="5" t="s">
        <v>17</v>
      </c>
      <c r="C72" s="913" t="s">
        <v>1038</v>
      </c>
      <c r="D72" s="914"/>
      <c r="E72" s="914"/>
      <c r="F72" s="915"/>
    </row>
    <row r="73" spans="2:6" ht="15.75" thickBot="1" x14ac:dyDescent="0.3">
      <c r="B73" s="5" t="s">
        <v>18</v>
      </c>
      <c r="C73" s="942" t="s">
        <v>1039</v>
      </c>
      <c r="D73" s="943"/>
      <c r="E73" s="943"/>
      <c r="F73" s="944"/>
    </row>
    <row r="74" spans="2:6" ht="15.75" thickBot="1" x14ac:dyDescent="0.3">
      <c r="B74" s="5" t="s">
        <v>19</v>
      </c>
      <c r="C74" s="10"/>
      <c r="D74" s="10"/>
      <c r="E74" s="10"/>
      <c r="F74" s="10"/>
    </row>
    <row r="75" spans="2:6" ht="12.75" customHeight="1" x14ac:dyDescent="0.25">
      <c r="B75" s="919"/>
      <c r="C75" s="8">
        <v>2018</v>
      </c>
      <c r="D75" s="8">
        <v>2019</v>
      </c>
      <c r="E75" s="8">
        <v>2020</v>
      </c>
      <c r="F75" s="8">
        <v>2021</v>
      </c>
    </row>
    <row r="76" spans="2:6" ht="9" customHeight="1" thickBot="1" x14ac:dyDescent="0.3">
      <c r="B76" s="920"/>
      <c r="C76" s="9" t="s">
        <v>10</v>
      </c>
      <c r="D76" s="9" t="s">
        <v>11</v>
      </c>
      <c r="E76" s="9" t="s">
        <v>11</v>
      </c>
      <c r="F76" s="9" t="s">
        <v>11</v>
      </c>
    </row>
    <row r="77" spans="2:6" ht="15.75" thickBot="1" x14ac:dyDescent="0.3">
      <c r="B77" s="5" t="s">
        <v>20</v>
      </c>
      <c r="C77" s="10">
        <f>122500*30%</f>
        <v>36750</v>
      </c>
      <c r="D77" s="10">
        <f>123000*30%</f>
        <v>36900</v>
      </c>
      <c r="E77" s="10">
        <f>124000*30%</f>
        <v>37200</v>
      </c>
      <c r="F77" s="10">
        <f>125000*30%</f>
        <v>37500</v>
      </c>
    </row>
    <row r="78" spans="2:6" ht="15.75" thickBot="1" x14ac:dyDescent="0.3">
      <c r="B78" s="5" t="s">
        <v>21</v>
      </c>
      <c r="C78" s="10" t="e">
        <f>C77/C74</f>
        <v>#DIV/0!</v>
      </c>
      <c r="D78" s="10" t="e">
        <f>D77/D74</f>
        <v>#DIV/0!</v>
      </c>
      <c r="E78" s="10" t="e">
        <f>E77/E74</f>
        <v>#DIV/0!</v>
      </c>
      <c r="F78" s="10" t="e">
        <f>F77/F74</f>
        <v>#DIV/0!</v>
      </c>
    </row>
    <row r="79" spans="2:6" ht="15.75" thickBot="1" x14ac:dyDescent="0.3">
      <c r="B79" s="5" t="s">
        <v>22</v>
      </c>
      <c r="C79" s="594"/>
      <c r="D79" s="11" t="e">
        <f>D74/C74-1</f>
        <v>#DIV/0!</v>
      </c>
      <c r="E79" s="11" t="e">
        <f>E74/D74-1</f>
        <v>#DIV/0!</v>
      </c>
      <c r="F79" s="11" t="e">
        <f>F74/E74-1</f>
        <v>#DIV/0!</v>
      </c>
    </row>
    <row r="80" spans="2:6" ht="15.75" thickBot="1" x14ac:dyDescent="0.3">
      <c r="B80" s="5" t="s">
        <v>24</v>
      </c>
      <c r="C80" s="594"/>
      <c r="D80" s="11">
        <f t="shared" ref="D80:F81" si="2">D77/C77-1</f>
        <v>4.0816326530612734E-3</v>
      </c>
      <c r="E80" s="11">
        <f t="shared" si="2"/>
        <v>8.1300813008129413E-3</v>
      </c>
      <c r="F80" s="11">
        <f t="shared" si="2"/>
        <v>8.0645161290322509E-3</v>
      </c>
    </row>
    <row r="81" spans="2:6" ht="23.25" thickBot="1" x14ac:dyDescent="0.3">
      <c r="B81" s="5" t="s">
        <v>25</v>
      </c>
      <c r="C81" s="594"/>
      <c r="D81" s="11" t="e">
        <f t="shared" si="2"/>
        <v>#DIV/0!</v>
      </c>
      <c r="E81" s="11" t="e">
        <f t="shared" si="2"/>
        <v>#DIV/0!</v>
      </c>
      <c r="F81" s="11" t="e">
        <f t="shared" si="2"/>
        <v>#DIV/0!</v>
      </c>
    </row>
    <row r="82" spans="2:6" ht="24.75" customHeight="1" thickBot="1" x14ac:dyDescent="0.3">
      <c r="B82" s="945" t="s">
        <v>1035</v>
      </c>
      <c r="C82" s="946"/>
      <c r="D82" s="946"/>
      <c r="E82" s="946"/>
      <c r="F82" s="947"/>
    </row>
    <row r="83" spans="2:6" ht="12.75" customHeight="1" x14ac:dyDescent="0.25">
      <c r="B83" s="919"/>
      <c r="C83" s="8">
        <v>2018</v>
      </c>
      <c r="D83" s="8">
        <v>2019</v>
      </c>
      <c r="E83" s="8">
        <v>2020</v>
      </c>
      <c r="F83" s="8">
        <v>2021</v>
      </c>
    </row>
    <row r="84" spans="2:6" ht="9" customHeight="1" thickBot="1" x14ac:dyDescent="0.3">
      <c r="B84" s="920"/>
      <c r="C84" s="9" t="s">
        <v>10</v>
      </c>
      <c r="D84" s="9" t="s">
        <v>11</v>
      </c>
      <c r="E84" s="9" t="s">
        <v>11</v>
      </c>
      <c r="F84" s="9" t="s">
        <v>11</v>
      </c>
    </row>
    <row r="85" spans="2:6" ht="24.75" customHeight="1" thickBot="1" x14ac:dyDescent="0.3">
      <c r="B85" s="13" t="s">
        <v>26</v>
      </c>
      <c r="C85" s="14">
        <f>13800*30%</f>
        <v>4140</v>
      </c>
      <c r="D85" s="14">
        <f>13800*30%</f>
        <v>4140</v>
      </c>
      <c r="E85" s="14">
        <f>13800*30%</f>
        <v>4140</v>
      </c>
      <c r="F85" s="14">
        <f>13800*30%</f>
        <v>4140</v>
      </c>
    </row>
    <row r="86" spans="2:6" ht="24.75" customHeight="1" thickBot="1" x14ac:dyDescent="0.3">
      <c r="B86" s="13" t="s">
        <v>28</v>
      </c>
      <c r="C86" s="14">
        <f>2700*30%</f>
        <v>810</v>
      </c>
      <c r="D86" s="14">
        <f>2700*30%</f>
        <v>810</v>
      </c>
      <c r="E86" s="14">
        <f>2700*30%</f>
        <v>810</v>
      </c>
      <c r="F86" s="14">
        <f>2700*30%</f>
        <v>810</v>
      </c>
    </row>
    <row r="87" spans="2:6" ht="24.75" customHeight="1" thickBot="1" x14ac:dyDescent="0.3">
      <c r="B87" s="13" t="s">
        <v>30</v>
      </c>
      <c r="C87" s="15">
        <f>5000*30%</f>
        <v>1500</v>
      </c>
      <c r="D87" s="14">
        <f>5500*30%</f>
        <v>1650</v>
      </c>
      <c r="E87" s="14">
        <f>6500*30%</f>
        <v>1950</v>
      </c>
      <c r="F87" s="14">
        <f>7500*30%</f>
        <v>2250</v>
      </c>
    </row>
    <row r="88" spans="2:6" ht="15.75" thickBot="1" x14ac:dyDescent="0.3">
      <c r="B88" s="13" t="s">
        <v>32</v>
      </c>
      <c r="C88" s="15"/>
      <c r="D88" s="14"/>
      <c r="E88" s="14"/>
      <c r="F88" s="14"/>
    </row>
    <row r="89" spans="2:6" ht="21" customHeight="1" thickBot="1" x14ac:dyDescent="0.3">
      <c r="B89" s="13" t="s">
        <v>34</v>
      </c>
      <c r="C89" s="15">
        <f>101000*30%</f>
        <v>30300</v>
      </c>
      <c r="D89" s="14">
        <f>101000*30%</f>
        <v>30300</v>
      </c>
      <c r="E89" s="14">
        <f>101000*30%</f>
        <v>30300</v>
      </c>
      <c r="F89" s="14">
        <f>101000*30%</f>
        <v>30300</v>
      </c>
    </row>
    <row r="90" spans="2:6" ht="15.75" thickBot="1" x14ac:dyDescent="0.3">
      <c r="B90" s="13" t="s">
        <v>36</v>
      </c>
      <c r="C90" s="15"/>
      <c r="D90" s="14"/>
      <c r="E90" s="14"/>
      <c r="F90" s="14"/>
    </row>
    <row r="91" spans="2:6" ht="24.75" thickBot="1" x14ac:dyDescent="0.3">
      <c r="B91" s="13" t="s">
        <v>38</v>
      </c>
      <c r="C91" s="15"/>
      <c r="D91" s="14"/>
      <c r="E91" s="14"/>
      <c r="F91" s="14"/>
    </row>
    <row r="92" spans="2:6" ht="24.75" thickBot="1" x14ac:dyDescent="0.3">
      <c r="B92" s="630" t="s">
        <v>74</v>
      </c>
      <c r="C92" s="15">
        <f>C91+C90+C89+C88+C87+C86+C85</f>
        <v>36750</v>
      </c>
      <c r="D92" s="15">
        <f>D91+D90+D89+D88+D87+D86+D85</f>
        <v>36900</v>
      </c>
      <c r="E92" s="15">
        <f>E91+E90+E89+E88+E87+E86+E85</f>
        <v>37200</v>
      </c>
      <c r="F92" s="15">
        <f>F91+F90+F89+F88+F87+F86+F85</f>
        <v>37500</v>
      </c>
    </row>
    <row r="93" spans="2:6" ht="17.25" customHeight="1" thickBot="1" x14ac:dyDescent="0.3">
      <c r="B93" s="17" t="s">
        <v>41</v>
      </c>
      <c r="C93" s="18">
        <f>IF(C92-C77=0,0,"Error")</f>
        <v>0</v>
      </c>
      <c r="D93" s="18">
        <f>IF(D92-D77=0,0,"Error")</f>
        <v>0</v>
      </c>
      <c r="E93" s="18">
        <f>IF(E92-E77=0,0,"Error")</f>
        <v>0</v>
      </c>
      <c r="F93" s="18">
        <f>IF(F92-F77=0,0,"Error")</f>
        <v>0</v>
      </c>
    </row>
    <row r="94" spans="2:6" ht="15.75" thickBot="1" x14ac:dyDescent="0.3">
      <c r="B94" s="933" t="s">
        <v>63</v>
      </c>
      <c r="C94" s="934"/>
      <c r="D94" s="934"/>
      <c r="E94" s="934"/>
      <c r="F94" s="935"/>
    </row>
    <row r="95" spans="2:6" ht="15.75" thickBot="1" x14ac:dyDescent="0.3">
      <c r="B95" s="933" t="s">
        <v>56</v>
      </c>
      <c r="C95" s="934"/>
      <c r="D95" s="934"/>
      <c r="E95" s="934"/>
      <c r="F95" s="935"/>
    </row>
    <row r="96" spans="2:6" ht="23.25" thickBot="1" x14ac:dyDescent="0.3">
      <c r="B96" s="20" t="s">
        <v>79</v>
      </c>
      <c r="C96" s="1678" t="s">
        <v>1040</v>
      </c>
      <c r="D96" s="1679"/>
      <c r="E96" s="1679"/>
      <c r="F96" s="1680"/>
    </row>
    <row r="97" spans="2:12" ht="15.75" thickBot="1" x14ac:dyDescent="0.3">
      <c r="B97" s="7" t="s">
        <v>16</v>
      </c>
      <c r="C97" s="960" t="s">
        <v>106</v>
      </c>
      <c r="D97" s="937"/>
      <c r="E97" s="937"/>
      <c r="F97" s="938"/>
    </row>
    <row r="98" spans="2:12" ht="17.25" customHeight="1" thickBot="1" x14ac:dyDescent="0.3">
      <c r="B98" s="5" t="s">
        <v>17</v>
      </c>
      <c r="C98" s="927" t="s">
        <v>106</v>
      </c>
      <c r="D98" s="928"/>
      <c r="E98" s="928"/>
      <c r="F98" s="929"/>
    </row>
    <row r="99" spans="2:12" ht="15.75" thickBot="1" x14ac:dyDescent="0.3">
      <c r="B99" s="5" t="s">
        <v>18</v>
      </c>
      <c r="C99" s="942" t="s">
        <v>106</v>
      </c>
      <c r="D99" s="943"/>
      <c r="E99" s="943"/>
      <c r="F99" s="944"/>
    </row>
    <row r="100" spans="2:12" ht="12.75" customHeight="1" x14ac:dyDescent="0.25">
      <c r="B100" s="919"/>
      <c r="C100" s="8">
        <v>2018</v>
      </c>
      <c r="D100" s="8">
        <v>2019</v>
      </c>
      <c r="E100" s="8">
        <v>2020</v>
      </c>
      <c r="F100" s="8">
        <v>2021</v>
      </c>
    </row>
    <row r="101" spans="2:12" ht="9" customHeight="1" thickBot="1" x14ac:dyDescent="0.3">
      <c r="B101" s="920"/>
      <c r="C101" s="9" t="s">
        <v>10</v>
      </c>
      <c r="D101" s="9" t="s">
        <v>11</v>
      </c>
      <c r="E101" s="9" t="s">
        <v>11</v>
      </c>
      <c r="F101" s="9" t="s">
        <v>11</v>
      </c>
    </row>
    <row r="102" spans="2:12" ht="15.75" thickBot="1" x14ac:dyDescent="0.3">
      <c r="B102" s="5" t="s">
        <v>19</v>
      </c>
      <c r="C102" s="10"/>
      <c r="D102" s="10"/>
      <c r="E102" s="10"/>
      <c r="F102" s="10"/>
    </row>
    <row r="103" spans="2:12" ht="15.75" thickBot="1" x14ac:dyDescent="0.3">
      <c r="B103" s="5" t="s">
        <v>20</v>
      </c>
      <c r="C103" s="10">
        <v>1000</v>
      </c>
      <c r="D103" s="10">
        <v>1000</v>
      </c>
      <c r="E103" s="10">
        <v>1000</v>
      </c>
      <c r="F103" s="10">
        <v>1000</v>
      </c>
    </row>
    <row r="104" spans="2:12" ht="15.75" thickBot="1" x14ac:dyDescent="0.3">
      <c r="B104" s="5" t="s">
        <v>21</v>
      </c>
      <c r="C104" s="10" t="e">
        <f>C103/C102</f>
        <v>#DIV/0!</v>
      </c>
      <c r="D104" s="10" t="e">
        <f>D103/D102</f>
        <v>#DIV/0!</v>
      </c>
      <c r="E104" s="10" t="e">
        <f>E103/E102</f>
        <v>#DIV/0!</v>
      </c>
      <c r="F104" s="10" t="e">
        <f>F103/F102</f>
        <v>#DIV/0!</v>
      </c>
    </row>
    <row r="105" spans="2:12" ht="15.75" thickBot="1" x14ac:dyDescent="0.3">
      <c r="B105" s="5" t="s">
        <v>22</v>
      </c>
      <c r="C105" s="594" t="s">
        <v>23</v>
      </c>
      <c r="D105" s="11" t="e">
        <f t="shared" ref="D105:F107" si="3">D102/C102-1</f>
        <v>#DIV/0!</v>
      </c>
      <c r="E105" s="11" t="e">
        <f t="shared" si="3"/>
        <v>#DIV/0!</v>
      </c>
      <c r="F105" s="11" t="e">
        <f t="shared" si="3"/>
        <v>#DIV/0!</v>
      </c>
      <c r="H105" s="12"/>
      <c r="I105" s="12"/>
      <c r="J105" s="12"/>
      <c r="K105" s="12"/>
      <c r="L105" s="12"/>
    </row>
    <row r="106" spans="2:12" ht="15.75" thickBot="1" x14ac:dyDescent="0.3">
      <c r="B106" s="5" t="s">
        <v>24</v>
      </c>
      <c r="C106" s="594" t="s">
        <v>23</v>
      </c>
      <c r="D106" s="11">
        <f t="shared" si="3"/>
        <v>0</v>
      </c>
      <c r="E106" s="11">
        <f t="shared" si="3"/>
        <v>0</v>
      </c>
      <c r="F106" s="11">
        <f t="shared" si="3"/>
        <v>0</v>
      </c>
    </row>
    <row r="107" spans="2:12" ht="23.25" thickBot="1" x14ac:dyDescent="0.3">
      <c r="B107" s="5" t="s">
        <v>25</v>
      </c>
      <c r="C107" s="594" t="s">
        <v>23</v>
      </c>
      <c r="D107" s="11" t="e">
        <f t="shared" si="3"/>
        <v>#DIV/0!</v>
      </c>
      <c r="E107" s="11" t="e">
        <f t="shared" si="3"/>
        <v>#DIV/0!</v>
      </c>
      <c r="F107" s="11" t="e">
        <f t="shared" si="3"/>
        <v>#DIV/0!</v>
      </c>
    </row>
    <row r="108" spans="2:12" ht="15.75" thickBot="1" x14ac:dyDescent="0.3">
      <c r="B108" s="945" t="s">
        <v>1031</v>
      </c>
      <c r="C108" s="946"/>
      <c r="D108" s="946"/>
      <c r="E108" s="946"/>
      <c r="F108" s="947"/>
    </row>
    <row r="109" spans="2:12" ht="12.75" customHeight="1" x14ac:dyDescent="0.25">
      <c r="B109" s="919"/>
      <c r="C109" s="8">
        <v>2018</v>
      </c>
      <c r="D109" s="8">
        <v>2019</v>
      </c>
      <c r="E109" s="8">
        <v>2020</v>
      </c>
      <c r="F109" s="8">
        <v>2021</v>
      </c>
    </row>
    <row r="110" spans="2:12" ht="9" customHeight="1" thickBot="1" x14ac:dyDescent="0.3">
      <c r="B110" s="920"/>
      <c r="C110" s="9" t="s">
        <v>10</v>
      </c>
      <c r="D110" s="9" t="s">
        <v>11</v>
      </c>
      <c r="E110" s="9" t="s">
        <v>11</v>
      </c>
      <c r="F110" s="9" t="s">
        <v>11</v>
      </c>
    </row>
    <row r="111" spans="2:12" ht="15.75" thickBot="1" x14ac:dyDescent="0.3">
      <c r="B111" s="13" t="s">
        <v>58</v>
      </c>
      <c r="C111" s="14"/>
      <c r="D111" s="14"/>
      <c r="E111" s="14"/>
      <c r="F111" s="14"/>
    </row>
    <row r="112" spans="2:12" ht="15.75" thickBot="1" x14ac:dyDescent="0.3">
      <c r="B112" s="13" t="s">
        <v>59</v>
      </c>
      <c r="C112" s="15">
        <v>1000</v>
      </c>
      <c r="D112" s="14">
        <v>1000</v>
      </c>
      <c r="E112" s="14">
        <v>1000</v>
      </c>
      <c r="F112" s="14">
        <v>1000</v>
      </c>
    </row>
    <row r="113" spans="2:12" ht="24.75" thickBot="1" x14ac:dyDescent="0.3">
      <c r="B113" s="16" t="s">
        <v>40</v>
      </c>
      <c r="C113" s="15">
        <f>C112+C111</f>
        <v>1000</v>
      </c>
      <c r="D113" s="15">
        <f>D112+D111</f>
        <v>1000</v>
      </c>
      <c r="E113" s="15">
        <f>E112+E111</f>
        <v>1000</v>
      </c>
      <c r="F113" s="15">
        <f>F112+F111</f>
        <v>1000</v>
      </c>
    </row>
    <row r="114" spans="2:12" x14ac:dyDescent="0.25">
      <c r="B114" s="948" t="s">
        <v>60</v>
      </c>
      <c r="C114" s="951"/>
      <c r="D114" s="952"/>
      <c r="E114" s="952"/>
      <c r="F114" s="953"/>
    </row>
    <row r="115" spans="2:12" x14ac:dyDescent="0.25">
      <c r="B115" s="949"/>
      <c r="C115" s="954"/>
      <c r="D115" s="955"/>
      <c r="E115" s="955"/>
      <c r="F115" s="956"/>
    </row>
    <row r="116" spans="2:12" ht="15.75" thickBot="1" x14ac:dyDescent="0.3">
      <c r="B116" s="950"/>
      <c r="C116" s="957"/>
      <c r="D116" s="958"/>
      <c r="E116" s="958"/>
      <c r="F116" s="959"/>
    </row>
    <row r="117" spans="2:12" ht="15.75" thickBot="1" x14ac:dyDescent="0.3">
      <c r="B117" s="20" t="s">
        <v>61</v>
      </c>
      <c r="C117" s="961" t="s">
        <v>130</v>
      </c>
      <c r="D117" s="962"/>
      <c r="E117" s="962"/>
      <c r="F117" s="963"/>
    </row>
    <row r="118" spans="2:12" ht="23.25" thickBot="1" x14ac:dyDescent="0.3">
      <c r="B118" s="7" t="s">
        <v>129</v>
      </c>
      <c r="C118" s="960" t="s">
        <v>106</v>
      </c>
      <c r="D118" s="937"/>
      <c r="E118" s="937"/>
      <c r="F118" s="938"/>
    </row>
    <row r="119" spans="2:12" ht="17.25" customHeight="1" thickBot="1" x14ac:dyDescent="0.3">
      <c r="B119" s="5" t="s">
        <v>17</v>
      </c>
      <c r="C119" s="927" t="s">
        <v>106</v>
      </c>
      <c r="D119" s="928"/>
      <c r="E119" s="928"/>
      <c r="F119" s="929"/>
    </row>
    <row r="120" spans="2:12" ht="15.75" thickBot="1" x14ac:dyDescent="0.3">
      <c r="B120" s="5" t="s">
        <v>18</v>
      </c>
      <c r="C120" s="942" t="s">
        <v>106</v>
      </c>
      <c r="D120" s="943"/>
      <c r="E120" s="943"/>
      <c r="F120" s="944"/>
    </row>
    <row r="121" spans="2:12" ht="12.75" customHeight="1" x14ac:dyDescent="0.25">
      <c r="B121" s="919"/>
      <c r="C121" s="8">
        <v>2018</v>
      </c>
      <c r="D121" s="8">
        <v>2019</v>
      </c>
      <c r="E121" s="8">
        <v>2020</v>
      </c>
      <c r="F121" s="8">
        <v>2021</v>
      </c>
    </row>
    <row r="122" spans="2:12" ht="9" customHeight="1" thickBot="1" x14ac:dyDescent="0.3">
      <c r="B122" s="920"/>
      <c r="C122" s="9" t="s">
        <v>10</v>
      </c>
      <c r="D122" s="9" t="s">
        <v>11</v>
      </c>
      <c r="E122" s="9" t="s">
        <v>11</v>
      </c>
      <c r="F122" s="9" t="s">
        <v>11</v>
      </c>
    </row>
    <row r="123" spans="2:12" ht="15.75" thickBot="1" x14ac:dyDescent="0.3">
      <c r="B123" s="5" t="s">
        <v>19</v>
      </c>
      <c r="C123" s="10"/>
      <c r="D123" s="10"/>
      <c r="E123" s="10"/>
      <c r="F123" s="10"/>
    </row>
    <row r="124" spans="2:12" ht="15.75" thickBot="1" x14ac:dyDescent="0.3">
      <c r="B124" s="5" t="s">
        <v>20</v>
      </c>
      <c r="C124" s="10"/>
      <c r="D124" s="10"/>
      <c r="E124" s="10"/>
      <c r="F124" s="10"/>
    </row>
    <row r="125" spans="2:12" ht="15.75" thickBot="1" x14ac:dyDescent="0.3">
      <c r="B125" s="5" t="s">
        <v>21</v>
      </c>
      <c r="C125" s="10" t="e">
        <f>C124/C123</f>
        <v>#DIV/0!</v>
      </c>
      <c r="D125" s="10" t="e">
        <f>D124/D123</f>
        <v>#DIV/0!</v>
      </c>
      <c r="E125" s="10" t="e">
        <f>E124/E123</f>
        <v>#DIV/0!</v>
      </c>
      <c r="F125" s="10" t="e">
        <f>F124/F123</f>
        <v>#DIV/0!</v>
      </c>
    </row>
    <row r="126" spans="2:12" ht="15.75" thickBot="1" x14ac:dyDescent="0.3">
      <c r="B126" s="5" t="s">
        <v>22</v>
      </c>
      <c r="C126" s="594" t="s">
        <v>23</v>
      </c>
      <c r="D126" s="11" t="e">
        <f t="shared" ref="D126:F128" si="4">D123/C123-1</f>
        <v>#DIV/0!</v>
      </c>
      <c r="E126" s="11" t="e">
        <f t="shared" si="4"/>
        <v>#DIV/0!</v>
      </c>
      <c r="F126" s="11" t="e">
        <f t="shared" si="4"/>
        <v>#DIV/0!</v>
      </c>
      <c r="H126" s="12"/>
      <c r="I126" s="12"/>
      <c r="J126" s="12"/>
      <c r="K126" s="12"/>
      <c r="L126" s="12"/>
    </row>
    <row r="127" spans="2:12" ht="15.75" thickBot="1" x14ac:dyDescent="0.3">
      <c r="B127" s="5" t="s">
        <v>24</v>
      </c>
      <c r="C127" s="594" t="s">
        <v>23</v>
      </c>
      <c r="D127" s="11" t="e">
        <f t="shared" si="4"/>
        <v>#DIV/0!</v>
      </c>
      <c r="E127" s="11" t="e">
        <f t="shared" si="4"/>
        <v>#DIV/0!</v>
      </c>
      <c r="F127" s="11" t="e">
        <f t="shared" si="4"/>
        <v>#DIV/0!</v>
      </c>
    </row>
    <row r="128" spans="2:12" ht="23.25" thickBot="1" x14ac:dyDescent="0.3">
      <c r="B128" s="5" t="s">
        <v>25</v>
      </c>
      <c r="C128" s="594" t="s">
        <v>23</v>
      </c>
      <c r="D128" s="11" t="e">
        <f t="shared" si="4"/>
        <v>#DIV/0!</v>
      </c>
      <c r="E128" s="11" t="e">
        <f t="shared" si="4"/>
        <v>#DIV/0!</v>
      </c>
      <c r="F128" s="11" t="e">
        <f t="shared" si="4"/>
        <v>#DIV/0!</v>
      </c>
    </row>
    <row r="129" spans="2:6" ht="15.75" thickBot="1" x14ac:dyDescent="0.3">
      <c r="B129" s="945" t="s">
        <v>1041</v>
      </c>
      <c r="C129" s="946"/>
      <c r="D129" s="946"/>
      <c r="E129" s="946"/>
      <c r="F129" s="947"/>
    </row>
    <row r="130" spans="2:6" ht="12.75" customHeight="1" x14ac:dyDescent="0.25">
      <c r="B130" s="919"/>
      <c r="C130" s="8">
        <v>2018</v>
      </c>
      <c r="D130" s="8">
        <v>2019</v>
      </c>
      <c r="E130" s="8">
        <v>2020</v>
      </c>
      <c r="F130" s="8">
        <v>2021</v>
      </c>
    </row>
    <row r="131" spans="2:6" ht="9" customHeight="1" thickBot="1" x14ac:dyDescent="0.3">
      <c r="B131" s="920"/>
      <c r="C131" s="9" t="s">
        <v>10</v>
      </c>
      <c r="D131" s="9" t="s">
        <v>11</v>
      </c>
      <c r="E131" s="9" t="s">
        <v>11</v>
      </c>
      <c r="F131" s="9" t="s">
        <v>11</v>
      </c>
    </row>
    <row r="132" spans="2:6" ht="15.75" thickBot="1" x14ac:dyDescent="0.3">
      <c r="B132" s="13" t="s">
        <v>58</v>
      </c>
      <c r="C132" s="14"/>
      <c r="D132" s="14"/>
      <c r="E132" s="14"/>
      <c r="F132" s="14"/>
    </row>
    <row r="133" spans="2:6" ht="15.75" thickBot="1" x14ac:dyDescent="0.3">
      <c r="B133" s="13" t="s">
        <v>59</v>
      </c>
      <c r="C133" s="15"/>
      <c r="D133" s="14"/>
      <c r="E133" s="14"/>
      <c r="F133" s="14"/>
    </row>
    <row r="134" spans="2:6" ht="24.75" thickBot="1" x14ac:dyDescent="0.3">
      <c r="B134" s="16" t="s">
        <v>74</v>
      </c>
      <c r="C134" s="15">
        <f>C133+C132</f>
        <v>0</v>
      </c>
      <c r="D134" s="15">
        <f>D133+D132</f>
        <v>0</v>
      </c>
      <c r="E134" s="15">
        <f>E133+E132</f>
        <v>0</v>
      </c>
      <c r="F134" s="15">
        <f>F133+F132</f>
        <v>0</v>
      </c>
    </row>
    <row r="135" spans="2:6" ht="15.75" thickBot="1" x14ac:dyDescent="0.3">
      <c r="B135" s="933" t="s">
        <v>63</v>
      </c>
      <c r="C135" s="934"/>
      <c r="D135" s="934"/>
      <c r="E135" s="934"/>
      <c r="F135" s="935"/>
    </row>
    <row r="136" spans="2:6" ht="15.75" thickBot="1" x14ac:dyDescent="0.3">
      <c r="B136" s="933" t="s">
        <v>64</v>
      </c>
      <c r="C136" s="934"/>
      <c r="D136" s="934"/>
      <c r="E136" s="934"/>
      <c r="F136" s="935"/>
    </row>
    <row r="137" spans="2:6" ht="15.75" thickBot="1" x14ac:dyDescent="0.3">
      <c r="B137" s="20" t="s">
        <v>61</v>
      </c>
      <c r="C137" s="961" t="s">
        <v>130</v>
      </c>
      <c r="D137" s="962"/>
      <c r="E137" s="962"/>
      <c r="F137" s="963"/>
    </row>
    <row r="138" spans="2:6" ht="15.75" thickBot="1" x14ac:dyDescent="0.3">
      <c r="B138" s="7" t="s">
        <v>16</v>
      </c>
      <c r="C138" s="960" t="s">
        <v>106</v>
      </c>
      <c r="D138" s="937"/>
      <c r="E138" s="937"/>
      <c r="F138" s="938"/>
    </row>
    <row r="139" spans="2:6" ht="17.25" customHeight="1" thickBot="1" x14ac:dyDescent="0.3">
      <c r="B139" s="5" t="s">
        <v>17</v>
      </c>
      <c r="C139" s="927" t="s">
        <v>106</v>
      </c>
      <c r="D139" s="928"/>
      <c r="E139" s="928"/>
      <c r="F139" s="929"/>
    </row>
    <row r="140" spans="2:6" ht="15.75" thickBot="1" x14ac:dyDescent="0.3">
      <c r="B140" s="5" t="s">
        <v>18</v>
      </c>
      <c r="C140" s="942" t="s">
        <v>106</v>
      </c>
      <c r="D140" s="943"/>
      <c r="E140" s="943"/>
      <c r="F140" s="944"/>
    </row>
    <row r="141" spans="2:6" ht="12.75" customHeight="1" x14ac:dyDescent="0.25">
      <c r="B141" s="919"/>
      <c r="C141" s="8">
        <v>2018</v>
      </c>
      <c r="D141" s="8">
        <v>2019</v>
      </c>
      <c r="E141" s="8">
        <v>2020</v>
      </c>
      <c r="F141" s="8">
        <v>2021</v>
      </c>
    </row>
    <row r="142" spans="2:6" ht="9" customHeight="1" thickBot="1" x14ac:dyDescent="0.3">
      <c r="B142" s="920"/>
      <c r="C142" s="9" t="s">
        <v>10</v>
      </c>
      <c r="D142" s="9" t="s">
        <v>11</v>
      </c>
      <c r="E142" s="9" t="s">
        <v>11</v>
      </c>
      <c r="F142" s="9" t="s">
        <v>11</v>
      </c>
    </row>
    <row r="143" spans="2:6" ht="15.75" thickBot="1" x14ac:dyDescent="0.3">
      <c r="B143" s="5" t="s">
        <v>19</v>
      </c>
      <c r="C143" s="10"/>
      <c r="D143" s="10"/>
      <c r="E143" s="10"/>
      <c r="F143" s="10"/>
    </row>
    <row r="144" spans="2:6" ht="15.75" thickBot="1" x14ac:dyDescent="0.3">
      <c r="B144" s="5" t="s">
        <v>20</v>
      </c>
      <c r="C144" s="10"/>
      <c r="D144" s="10"/>
      <c r="E144" s="10"/>
      <c r="F144" s="10"/>
    </row>
    <row r="145" spans="2:12" ht="15.75" thickBot="1" x14ac:dyDescent="0.3">
      <c r="B145" s="5" t="s">
        <v>21</v>
      </c>
      <c r="C145" s="10" t="e">
        <f>C144/C143</f>
        <v>#DIV/0!</v>
      </c>
      <c r="D145" s="10" t="e">
        <f>D144/D143</f>
        <v>#DIV/0!</v>
      </c>
      <c r="E145" s="10" t="e">
        <f>E144/E143</f>
        <v>#DIV/0!</v>
      </c>
      <c r="F145" s="10" t="e">
        <f>F144/F143</f>
        <v>#DIV/0!</v>
      </c>
    </row>
    <row r="146" spans="2:12" ht="15.75" thickBot="1" x14ac:dyDescent="0.3">
      <c r="B146" s="5" t="s">
        <v>22</v>
      </c>
      <c r="C146" s="594" t="s">
        <v>23</v>
      </c>
      <c r="D146" s="11" t="e">
        <f t="shared" ref="D146:F148" si="5">D143/C143-1</f>
        <v>#DIV/0!</v>
      </c>
      <c r="E146" s="11" t="e">
        <f t="shared" si="5"/>
        <v>#DIV/0!</v>
      </c>
      <c r="F146" s="11" t="e">
        <f t="shared" si="5"/>
        <v>#DIV/0!</v>
      </c>
      <c r="H146" s="12"/>
      <c r="I146" s="12"/>
      <c r="J146" s="12"/>
      <c r="K146" s="12"/>
      <c r="L146" s="12"/>
    </row>
    <row r="147" spans="2:12" ht="15.75" thickBot="1" x14ac:dyDescent="0.3">
      <c r="B147" s="5" t="s">
        <v>24</v>
      </c>
      <c r="C147" s="594" t="s">
        <v>23</v>
      </c>
      <c r="D147" s="11" t="e">
        <f t="shared" si="5"/>
        <v>#DIV/0!</v>
      </c>
      <c r="E147" s="11" t="e">
        <f t="shared" si="5"/>
        <v>#DIV/0!</v>
      </c>
      <c r="F147" s="11" t="e">
        <f t="shared" si="5"/>
        <v>#DIV/0!</v>
      </c>
    </row>
    <row r="148" spans="2:12" ht="23.25" thickBot="1" x14ac:dyDescent="0.3">
      <c r="B148" s="5" t="s">
        <v>25</v>
      </c>
      <c r="C148" s="594" t="s">
        <v>23</v>
      </c>
      <c r="D148" s="11" t="e">
        <f t="shared" si="5"/>
        <v>#DIV/0!</v>
      </c>
      <c r="E148" s="11" t="e">
        <f t="shared" si="5"/>
        <v>#DIV/0!</v>
      </c>
      <c r="F148" s="11" t="e">
        <f t="shared" si="5"/>
        <v>#DIV/0!</v>
      </c>
    </row>
    <row r="149" spans="2:12" ht="15.75" thickBot="1" x14ac:dyDescent="0.3">
      <c r="B149" s="945" t="s">
        <v>1031</v>
      </c>
      <c r="C149" s="946"/>
      <c r="D149" s="946"/>
      <c r="E149" s="946"/>
      <c r="F149" s="947"/>
    </row>
    <row r="150" spans="2:12" ht="12.75" customHeight="1" x14ac:dyDescent="0.25">
      <c r="B150" s="919"/>
      <c r="C150" s="8">
        <v>2018</v>
      </c>
      <c r="D150" s="8">
        <v>2019</v>
      </c>
      <c r="E150" s="8">
        <v>2020</v>
      </c>
      <c r="F150" s="8">
        <v>2021</v>
      </c>
    </row>
    <row r="151" spans="2:12" ht="9" customHeight="1" thickBot="1" x14ac:dyDescent="0.3">
      <c r="B151" s="920"/>
      <c r="C151" s="9" t="s">
        <v>10</v>
      </c>
      <c r="D151" s="9" t="s">
        <v>11</v>
      </c>
      <c r="E151" s="9" t="s">
        <v>11</v>
      </c>
      <c r="F151" s="9" t="s">
        <v>11</v>
      </c>
    </row>
    <row r="152" spans="2:12" ht="15.75" thickBot="1" x14ac:dyDescent="0.3">
      <c r="B152" s="13" t="s">
        <v>58</v>
      </c>
      <c r="C152" s="14"/>
      <c r="D152" s="14"/>
      <c r="E152" s="14"/>
      <c r="F152" s="14"/>
    </row>
    <row r="153" spans="2:12" ht="15.75" thickBot="1" x14ac:dyDescent="0.3">
      <c r="B153" s="13" t="s">
        <v>59</v>
      </c>
      <c r="C153" s="15">
        <v>1000</v>
      </c>
      <c r="D153" s="14"/>
      <c r="E153" s="14"/>
      <c r="F153" s="14"/>
    </row>
    <row r="154" spans="2:12" ht="24.75" thickBot="1" x14ac:dyDescent="0.3">
      <c r="B154" s="16" t="s">
        <v>40</v>
      </c>
      <c r="C154" s="15">
        <f>C153+C152</f>
        <v>1000</v>
      </c>
      <c r="D154" s="15"/>
      <c r="E154" s="15"/>
      <c r="F154" s="15"/>
    </row>
    <row r="155" spans="2:12" ht="15.75" thickBot="1" x14ac:dyDescent="0.3">
      <c r="B155" s="631" t="s">
        <v>61</v>
      </c>
      <c r="C155" s="961" t="s">
        <v>130</v>
      </c>
      <c r="D155" s="962"/>
      <c r="E155" s="962"/>
      <c r="F155" s="963"/>
    </row>
    <row r="156" spans="2:12" ht="23.25" thickBot="1" x14ac:dyDescent="0.3">
      <c r="B156" s="7" t="s">
        <v>129</v>
      </c>
      <c r="C156" s="960" t="s">
        <v>106</v>
      </c>
      <c r="D156" s="937"/>
      <c r="E156" s="937"/>
      <c r="F156" s="938"/>
    </row>
    <row r="157" spans="2:12" ht="17.25" customHeight="1" thickBot="1" x14ac:dyDescent="0.3">
      <c r="B157" s="5" t="s">
        <v>17</v>
      </c>
      <c r="C157" s="927" t="s">
        <v>106</v>
      </c>
      <c r="D157" s="928"/>
      <c r="E157" s="928"/>
      <c r="F157" s="929"/>
    </row>
    <row r="158" spans="2:12" ht="15.75" thickBot="1" x14ac:dyDescent="0.3">
      <c r="B158" s="5" t="s">
        <v>18</v>
      </c>
      <c r="C158" s="942" t="s">
        <v>106</v>
      </c>
      <c r="D158" s="943"/>
      <c r="E158" s="943"/>
      <c r="F158" s="944"/>
    </row>
    <row r="159" spans="2:12" ht="12.75" customHeight="1" x14ac:dyDescent="0.25">
      <c r="B159" s="919"/>
      <c r="C159" s="8">
        <v>2018</v>
      </c>
      <c r="D159" s="8">
        <v>2019</v>
      </c>
      <c r="E159" s="8">
        <v>2020</v>
      </c>
      <c r="F159" s="8">
        <v>2021</v>
      </c>
    </row>
    <row r="160" spans="2:12" ht="9" customHeight="1" thickBot="1" x14ac:dyDescent="0.3">
      <c r="B160" s="920"/>
      <c r="C160" s="9" t="s">
        <v>10</v>
      </c>
      <c r="D160" s="9" t="s">
        <v>11</v>
      </c>
      <c r="E160" s="9" t="s">
        <v>11</v>
      </c>
      <c r="F160" s="9" t="s">
        <v>11</v>
      </c>
    </row>
    <row r="161" spans="2:12" ht="15.75" thickBot="1" x14ac:dyDescent="0.3">
      <c r="B161" s="5" t="s">
        <v>19</v>
      </c>
      <c r="C161" s="10"/>
      <c r="D161" s="10"/>
      <c r="E161" s="10"/>
      <c r="F161" s="10"/>
    </row>
    <row r="162" spans="2:12" ht="15.75" thickBot="1" x14ac:dyDescent="0.3">
      <c r="B162" s="5" t="s">
        <v>20</v>
      </c>
      <c r="C162" s="10"/>
      <c r="D162" s="10"/>
      <c r="E162" s="10"/>
      <c r="F162" s="10"/>
    </row>
    <row r="163" spans="2:12" ht="15.75" thickBot="1" x14ac:dyDescent="0.3">
      <c r="B163" s="5" t="s">
        <v>21</v>
      </c>
      <c r="C163" s="10" t="e">
        <f>C162/C161</f>
        <v>#DIV/0!</v>
      </c>
      <c r="D163" s="10" t="e">
        <f>D162/D161</f>
        <v>#DIV/0!</v>
      </c>
      <c r="E163" s="10" t="e">
        <f>E162/E161</f>
        <v>#DIV/0!</v>
      </c>
      <c r="F163" s="10" t="e">
        <f>F162/F161</f>
        <v>#DIV/0!</v>
      </c>
    </row>
    <row r="164" spans="2:12" ht="15.75" thickBot="1" x14ac:dyDescent="0.3">
      <c r="B164" s="5" t="s">
        <v>22</v>
      </c>
      <c r="C164" s="594" t="s">
        <v>23</v>
      </c>
      <c r="D164" s="11" t="e">
        <f t="shared" ref="D164:F166" si="6">D161/C161-1</f>
        <v>#DIV/0!</v>
      </c>
      <c r="E164" s="11" t="e">
        <f t="shared" si="6"/>
        <v>#DIV/0!</v>
      </c>
      <c r="F164" s="11" t="e">
        <f t="shared" si="6"/>
        <v>#DIV/0!</v>
      </c>
      <c r="H164" s="12"/>
      <c r="I164" s="12"/>
      <c r="J164" s="12"/>
      <c r="K164" s="12"/>
      <c r="L164" s="12"/>
    </row>
    <row r="165" spans="2:12" ht="15.75" thickBot="1" x14ac:dyDescent="0.3">
      <c r="B165" s="5" t="s">
        <v>24</v>
      </c>
      <c r="C165" s="594" t="s">
        <v>23</v>
      </c>
      <c r="D165" s="11" t="e">
        <f t="shared" si="6"/>
        <v>#DIV/0!</v>
      </c>
      <c r="E165" s="11" t="e">
        <f t="shared" si="6"/>
        <v>#DIV/0!</v>
      </c>
      <c r="F165" s="11" t="e">
        <f t="shared" si="6"/>
        <v>#DIV/0!</v>
      </c>
    </row>
    <row r="166" spans="2:12" ht="23.25" thickBot="1" x14ac:dyDescent="0.3">
      <c r="B166" s="5" t="s">
        <v>25</v>
      </c>
      <c r="C166" s="594" t="s">
        <v>23</v>
      </c>
      <c r="D166" s="11" t="e">
        <f t="shared" si="6"/>
        <v>#DIV/0!</v>
      </c>
      <c r="E166" s="11" t="e">
        <f t="shared" si="6"/>
        <v>#DIV/0!</v>
      </c>
      <c r="F166" s="11" t="e">
        <f t="shared" si="6"/>
        <v>#DIV/0!</v>
      </c>
    </row>
    <row r="167" spans="2:12" ht="15.75" thickBot="1" x14ac:dyDescent="0.3">
      <c r="B167" s="945" t="s">
        <v>1041</v>
      </c>
      <c r="C167" s="946"/>
      <c r="D167" s="946"/>
      <c r="E167" s="946"/>
      <c r="F167" s="947"/>
    </row>
    <row r="168" spans="2:12" ht="12.75" customHeight="1" x14ac:dyDescent="0.25">
      <c r="B168" s="919"/>
      <c r="C168" s="8">
        <v>2018</v>
      </c>
      <c r="D168" s="8">
        <v>2019</v>
      </c>
      <c r="E168" s="8">
        <v>2020</v>
      </c>
      <c r="F168" s="8">
        <v>2021</v>
      </c>
    </row>
    <row r="169" spans="2:12" ht="9" customHeight="1" thickBot="1" x14ac:dyDescent="0.3">
      <c r="B169" s="920"/>
      <c r="C169" s="9" t="s">
        <v>10</v>
      </c>
      <c r="D169" s="9" t="s">
        <v>11</v>
      </c>
      <c r="E169" s="9" t="s">
        <v>11</v>
      </c>
      <c r="F169" s="9" t="s">
        <v>11</v>
      </c>
    </row>
    <row r="170" spans="2:12" ht="15.75" thickBot="1" x14ac:dyDescent="0.3">
      <c r="B170" s="13" t="s">
        <v>58</v>
      </c>
      <c r="C170" s="14"/>
      <c r="D170" s="14"/>
      <c r="E170" s="14"/>
      <c r="F170" s="14"/>
    </row>
    <row r="171" spans="2:12" ht="15.75" thickBot="1" x14ac:dyDescent="0.3">
      <c r="B171" s="13" t="s">
        <v>59</v>
      </c>
      <c r="C171" s="15"/>
      <c r="D171" s="14"/>
      <c r="E171" s="14"/>
      <c r="F171" s="14"/>
    </row>
    <row r="172" spans="2:12" ht="24.75" thickBot="1" x14ac:dyDescent="0.3">
      <c r="B172" s="16" t="s">
        <v>74</v>
      </c>
      <c r="C172" s="15">
        <f>C171+C170</f>
        <v>0</v>
      </c>
      <c r="D172" s="15">
        <f>D171+D170</f>
        <v>0</v>
      </c>
      <c r="E172" s="15">
        <f>E171+E170</f>
        <v>0</v>
      </c>
      <c r="F172" s="15">
        <f>F171+F170</f>
        <v>0</v>
      </c>
    </row>
    <row r="173" spans="2:12" ht="26.45" hidden="1" customHeight="1" thickBot="1" x14ac:dyDescent="0.3">
      <c r="B173" s="21" t="s">
        <v>67</v>
      </c>
      <c r="C173" s="1681" t="s">
        <v>106</v>
      </c>
      <c r="D173" s="1682"/>
      <c r="E173" s="1682"/>
      <c r="F173" s="1683"/>
    </row>
    <row r="174" spans="2:12" ht="15.75" hidden="1" customHeight="1" thickBot="1" x14ac:dyDescent="0.3">
      <c r="B174" s="927" t="s">
        <v>68</v>
      </c>
      <c r="C174" s="928"/>
      <c r="D174" s="928"/>
      <c r="E174" s="928"/>
      <c r="F174" s="929"/>
    </row>
    <row r="175" spans="2:12" ht="15.75" hidden="1" thickBot="1" x14ac:dyDescent="0.3">
      <c r="B175" s="595" t="s">
        <v>211</v>
      </c>
      <c r="C175" s="4" t="s">
        <v>116</v>
      </c>
      <c r="D175" s="4" t="s">
        <v>117</v>
      </c>
      <c r="E175" s="4" t="s">
        <v>117</v>
      </c>
      <c r="F175" s="4" t="s">
        <v>117</v>
      </c>
    </row>
    <row r="176" spans="2:12" ht="15.75" hidden="1" customHeight="1" thickBot="1" x14ac:dyDescent="0.3">
      <c r="B176" s="5" t="s">
        <v>212</v>
      </c>
      <c r="C176" s="4" t="s">
        <v>116</v>
      </c>
      <c r="D176" s="4" t="s">
        <v>117</v>
      </c>
      <c r="E176" s="4" t="s">
        <v>117</v>
      </c>
      <c r="F176" s="4" t="s">
        <v>117</v>
      </c>
    </row>
    <row r="177" spans="2:6" ht="23.25" hidden="1" customHeight="1" thickBot="1" x14ac:dyDescent="0.3">
      <c r="B177" s="5" t="s">
        <v>115</v>
      </c>
      <c r="C177" s="4" t="s">
        <v>116</v>
      </c>
      <c r="D177" s="4" t="s">
        <v>117</v>
      </c>
      <c r="E177" s="4" t="s">
        <v>117</v>
      </c>
      <c r="F177" s="4" t="s">
        <v>117</v>
      </c>
    </row>
    <row r="178" spans="2:6" ht="23.25" hidden="1" customHeight="1" thickBot="1" x14ac:dyDescent="0.3">
      <c r="B178" s="1684" t="s">
        <v>69</v>
      </c>
      <c r="C178" s="1685"/>
      <c r="D178" s="1685"/>
      <c r="E178" s="1685"/>
      <c r="F178" s="1686"/>
    </row>
    <row r="179" spans="2:6" ht="23.25" hidden="1" customHeight="1" thickBot="1" x14ac:dyDescent="0.3">
      <c r="B179" s="1030" t="s">
        <v>70</v>
      </c>
      <c r="C179" s="1031"/>
      <c r="D179" s="1031"/>
      <c r="E179" s="1031"/>
      <c r="F179" s="1032"/>
    </row>
    <row r="180" spans="2:6" ht="12.75" hidden="1" customHeight="1" x14ac:dyDescent="0.25">
      <c r="B180" s="919"/>
      <c r="C180" s="8">
        <v>2018</v>
      </c>
      <c r="D180" s="8">
        <v>2019</v>
      </c>
      <c r="E180" s="8">
        <v>2020</v>
      </c>
      <c r="F180" s="8">
        <v>2021</v>
      </c>
    </row>
    <row r="181" spans="2:6" ht="9" hidden="1" customHeight="1" thickBot="1" x14ac:dyDescent="0.3">
      <c r="B181" s="920"/>
      <c r="C181" s="9" t="s">
        <v>10</v>
      </c>
      <c r="D181" s="9" t="s">
        <v>11</v>
      </c>
      <c r="E181" s="9" t="s">
        <v>11</v>
      </c>
      <c r="F181" s="9" t="s">
        <v>11</v>
      </c>
    </row>
    <row r="182" spans="2:6" ht="26.25" hidden="1" customHeight="1" thickBot="1" x14ac:dyDescent="0.3">
      <c r="B182" s="7" t="s">
        <v>16</v>
      </c>
      <c r="C182" s="960" t="s">
        <v>106</v>
      </c>
      <c r="D182" s="937"/>
      <c r="E182" s="937"/>
      <c r="F182" s="938"/>
    </row>
    <row r="183" spans="2:6" ht="16.5" hidden="1" customHeight="1" thickBot="1" x14ac:dyDescent="0.3">
      <c r="B183" s="5" t="s">
        <v>17</v>
      </c>
      <c r="C183" s="927" t="s">
        <v>106</v>
      </c>
      <c r="D183" s="928"/>
      <c r="E183" s="928"/>
      <c r="F183" s="929"/>
    </row>
    <row r="184" spans="2:6" ht="15.75" hidden="1" customHeight="1" thickBot="1" x14ac:dyDescent="0.3">
      <c r="B184" s="5" t="s">
        <v>18</v>
      </c>
      <c r="C184" s="942" t="s">
        <v>106</v>
      </c>
      <c r="D184" s="943"/>
      <c r="E184" s="943"/>
      <c r="F184" s="944"/>
    </row>
    <row r="185" spans="2:6" ht="12.75" hidden="1" customHeight="1" x14ac:dyDescent="0.25">
      <c r="B185" s="919"/>
      <c r="C185" s="8">
        <v>2018</v>
      </c>
      <c r="D185" s="8">
        <v>2019</v>
      </c>
      <c r="E185" s="8">
        <v>2020</v>
      </c>
      <c r="F185" s="8">
        <v>2021</v>
      </c>
    </row>
    <row r="186" spans="2:6" ht="9" hidden="1" customHeight="1" thickBot="1" x14ac:dyDescent="0.3">
      <c r="B186" s="920"/>
      <c r="C186" s="9" t="s">
        <v>10</v>
      </c>
      <c r="D186" s="9" t="s">
        <v>11</v>
      </c>
      <c r="E186" s="9" t="s">
        <v>11</v>
      </c>
      <c r="F186" s="9" t="s">
        <v>11</v>
      </c>
    </row>
    <row r="187" spans="2:6" ht="15.75" hidden="1" customHeight="1" thickBot="1" x14ac:dyDescent="0.3">
      <c r="B187" s="5" t="s">
        <v>19</v>
      </c>
      <c r="C187" s="10"/>
      <c r="D187" s="61"/>
      <c r="E187" s="61"/>
      <c r="F187" s="61"/>
    </row>
    <row r="188" spans="2:6" ht="15.75" hidden="1" thickBot="1" x14ac:dyDescent="0.3">
      <c r="B188" s="5" t="s">
        <v>20</v>
      </c>
      <c r="C188" s="10"/>
      <c r="D188" s="10"/>
      <c r="E188" s="10"/>
      <c r="F188" s="10"/>
    </row>
    <row r="189" spans="2:6" ht="15.75" hidden="1" thickBot="1" x14ac:dyDescent="0.3">
      <c r="B189" s="5" t="s">
        <v>21</v>
      </c>
      <c r="C189" s="10" t="e">
        <f>C188/C187</f>
        <v>#DIV/0!</v>
      </c>
      <c r="D189" s="10" t="e">
        <f>D188/D187</f>
        <v>#DIV/0!</v>
      </c>
      <c r="E189" s="10" t="e">
        <f>E188/E187</f>
        <v>#DIV/0!</v>
      </c>
      <c r="F189" s="10" t="e">
        <f>F188/F187</f>
        <v>#DIV/0!</v>
      </c>
    </row>
    <row r="190" spans="2:6" ht="15.75" hidden="1" thickBot="1" x14ac:dyDescent="0.3">
      <c r="B190" s="5" t="s">
        <v>22</v>
      </c>
      <c r="C190" s="594"/>
      <c r="D190" s="11" t="e">
        <f t="shared" ref="D190:F192" si="7">D187/C187-1</f>
        <v>#DIV/0!</v>
      </c>
      <c r="E190" s="11" t="e">
        <f t="shared" si="7"/>
        <v>#DIV/0!</v>
      </c>
      <c r="F190" s="11" t="e">
        <f t="shared" si="7"/>
        <v>#DIV/0!</v>
      </c>
    </row>
    <row r="191" spans="2:6" ht="15.75" hidden="1" thickBot="1" x14ac:dyDescent="0.3">
      <c r="B191" s="5" t="s">
        <v>24</v>
      </c>
      <c r="C191" s="594"/>
      <c r="D191" s="11" t="e">
        <f t="shared" si="7"/>
        <v>#DIV/0!</v>
      </c>
      <c r="E191" s="11" t="e">
        <f t="shared" si="7"/>
        <v>#DIV/0!</v>
      </c>
      <c r="F191" s="11" t="e">
        <f t="shared" si="7"/>
        <v>#DIV/0!</v>
      </c>
    </row>
    <row r="192" spans="2:6" ht="23.25" hidden="1" thickBot="1" x14ac:dyDescent="0.3">
      <c r="B192" s="5" t="s">
        <v>25</v>
      </c>
      <c r="C192" s="594"/>
      <c r="D192" s="11" t="e">
        <f t="shared" si="7"/>
        <v>#DIV/0!</v>
      </c>
      <c r="E192" s="11" t="e">
        <f t="shared" si="7"/>
        <v>#DIV/0!</v>
      </c>
      <c r="F192" s="11" t="e">
        <f t="shared" si="7"/>
        <v>#DIV/0!</v>
      </c>
    </row>
    <row r="193" spans="2:6" ht="12.75" hidden="1" customHeight="1" x14ac:dyDescent="0.25">
      <c r="B193" s="919"/>
      <c r="C193" s="8">
        <v>2018</v>
      </c>
      <c r="D193" s="8">
        <v>2019</v>
      </c>
      <c r="E193" s="8">
        <v>2020</v>
      </c>
      <c r="F193" s="8">
        <v>2021</v>
      </c>
    </row>
    <row r="194" spans="2:6" ht="9" hidden="1" customHeight="1" thickBot="1" x14ac:dyDescent="0.3">
      <c r="B194" s="920"/>
      <c r="C194" s="9" t="s">
        <v>10</v>
      </c>
      <c r="D194" s="9" t="s">
        <v>11</v>
      </c>
      <c r="E194" s="9" t="s">
        <v>11</v>
      </c>
      <c r="F194" s="9" t="s">
        <v>11</v>
      </c>
    </row>
    <row r="195" spans="2:6" ht="15.75" hidden="1" thickBot="1" x14ac:dyDescent="0.3">
      <c r="B195" s="945" t="s">
        <v>1042</v>
      </c>
      <c r="C195" s="946"/>
      <c r="D195" s="946"/>
      <c r="E195" s="946"/>
      <c r="F195" s="947"/>
    </row>
    <row r="196" spans="2:6" ht="12.75" hidden="1" customHeight="1" x14ac:dyDescent="0.25">
      <c r="B196" s="919"/>
      <c r="C196" s="8">
        <v>2018</v>
      </c>
      <c r="D196" s="8">
        <v>2019</v>
      </c>
      <c r="E196" s="8">
        <v>2020</v>
      </c>
      <c r="F196" s="8">
        <v>2021</v>
      </c>
    </row>
    <row r="197" spans="2:6" ht="9" hidden="1" customHeight="1" thickBot="1" x14ac:dyDescent="0.3">
      <c r="B197" s="920"/>
      <c r="C197" s="9" t="s">
        <v>10</v>
      </c>
      <c r="D197" s="9" t="s">
        <v>11</v>
      </c>
      <c r="E197" s="9" t="s">
        <v>11</v>
      </c>
      <c r="F197" s="9" t="s">
        <v>11</v>
      </c>
    </row>
    <row r="198" spans="2:6" ht="15.75" hidden="1" thickBot="1" x14ac:dyDescent="0.3">
      <c r="B198" s="13" t="s">
        <v>26</v>
      </c>
      <c r="C198" s="14"/>
      <c r="D198" s="14"/>
      <c r="E198" s="14"/>
      <c r="F198" s="14"/>
    </row>
    <row r="199" spans="2:6" ht="24.75" hidden="1" thickBot="1" x14ac:dyDescent="0.3">
      <c r="B199" s="13" t="s">
        <v>28</v>
      </c>
      <c r="C199" s="14"/>
      <c r="D199" s="14"/>
      <c r="E199" s="14"/>
      <c r="F199" s="14"/>
    </row>
    <row r="200" spans="2:6" ht="15.75" hidden="1" thickBot="1" x14ac:dyDescent="0.3">
      <c r="B200" s="13" t="s">
        <v>30</v>
      </c>
      <c r="C200" s="15"/>
      <c r="D200" s="14"/>
      <c r="E200" s="14"/>
      <c r="F200" s="14"/>
    </row>
    <row r="201" spans="2:6" ht="15.75" hidden="1" thickBot="1" x14ac:dyDescent="0.3">
      <c r="B201" s="13" t="s">
        <v>32</v>
      </c>
      <c r="C201" s="15"/>
      <c r="D201" s="14"/>
      <c r="E201" s="14"/>
      <c r="F201" s="14"/>
    </row>
    <row r="202" spans="2:6" ht="22.9" hidden="1" customHeight="1" thickBot="1" x14ac:dyDescent="0.3">
      <c r="B202" s="13" t="s">
        <v>34</v>
      </c>
      <c r="C202" s="15"/>
      <c r="D202" s="14"/>
      <c r="E202" s="14"/>
      <c r="F202" s="14"/>
    </row>
    <row r="203" spans="2:6" ht="15.75" hidden="1" thickBot="1" x14ac:dyDescent="0.3">
      <c r="B203" s="13" t="s">
        <v>36</v>
      </c>
      <c r="C203" s="15"/>
      <c r="D203" s="14"/>
      <c r="E203" s="14"/>
      <c r="F203" s="14"/>
    </row>
    <row r="204" spans="2:6" ht="24.75" hidden="1" thickBot="1" x14ac:dyDescent="0.3">
      <c r="B204" s="13" t="s">
        <v>38</v>
      </c>
      <c r="C204" s="15"/>
      <c r="D204" s="14"/>
      <c r="E204" s="14"/>
      <c r="F204" s="14"/>
    </row>
    <row r="205" spans="2:6" ht="36.75" hidden="1" thickBot="1" x14ac:dyDescent="0.3">
      <c r="B205" s="632" t="s">
        <v>71</v>
      </c>
      <c r="C205" s="633">
        <f>C204+C203+C202+C201+C200+C199+C198</f>
        <v>0</v>
      </c>
      <c r="D205" s="633">
        <f>D204+D203+D202+D201+D200+D199+D198</f>
        <v>0</v>
      </c>
      <c r="E205" s="633">
        <f>E204+E203+E202+E201+E200+E199+E198</f>
        <v>0</v>
      </c>
      <c r="F205" s="633">
        <f>F204+F203+F202+F201+F200+F199+F198</f>
        <v>0</v>
      </c>
    </row>
    <row r="206" spans="2:6" ht="15.75" hidden="1" thickBot="1" x14ac:dyDescent="0.3">
      <c r="B206" s="17" t="s">
        <v>41</v>
      </c>
      <c r="C206" s="18">
        <f>IF(C205-C188=0,0,"Error")</f>
        <v>0</v>
      </c>
      <c r="D206" s="18">
        <f>IF(D205-D188=0,0,"Error")</f>
        <v>0</v>
      </c>
      <c r="E206" s="18">
        <f>IF(E205-E188=0,0,"Error")</f>
        <v>0</v>
      </c>
      <c r="F206" s="18">
        <f>IF(F205-F188=0,0,"Error")</f>
        <v>0</v>
      </c>
    </row>
    <row r="207" spans="2:6" ht="23.25" hidden="1" thickBot="1" x14ac:dyDescent="0.3">
      <c r="B207" s="634" t="s">
        <v>1043</v>
      </c>
      <c r="C207" s="960" t="s">
        <v>106</v>
      </c>
      <c r="D207" s="937"/>
      <c r="E207" s="937"/>
      <c r="F207" s="938"/>
    </row>
    <row r="208" spans="2:6" ht="15.75" hidden="1" thickBot="1" x14ac:dyDescent="0.3">
      <c r="B208" s="5" t="s">
        <v>17</v>
      </c>
      <c r="C208" s="927" t="s">
        <v>106</v>
      </c>
      <c r="D208" s="928"/>
      <c r="E208" s="928"/>
      <c r="F208" s="929"/>
    </row>
    <row r="209" spans="2:6" ht="15.75" hidden="1" thickBot="1" x14ac:dyDescent="0.3">
      <c r="B209" s="5" t="s">
        <v>18</v>
      </c>
      <c r="C209" s="942" t="s">
        <v>106</v>
      </c>
      <c r="D209" s="943"/>
      <c r="E209" s="943"/>
      <c r="F209" s="944"/>
    </row>
    <row r="210" spans="2:6" ht="12.75" hidden="1" customHeight="1" x14ac:dyDescent="0.25">
      <c r="B210" s="919"/>
      <c r="C210" s="8">
        <v>2018</v>
      </c>
      <c r="D210" s="8">
        <v>2019</v>
      </c>
      <c r="E210" s="8">
        <v>2020</v>
      </c>
      <c r="F210" s="8">
        <v>2021</v>
      </c>
    </row>
    <row r="211" spans="2:6" ht="9" hidden="1" customHeight="1" thickBot="1" x14ac:dyDescent="0.3">
      <c r="B211" s="920"/>
      <c r="C211" s="9" t="s">
        <v>10</v>
      </c>
      <c r="D211" s="9" t="s">
        <v>11</v>
      </c>
      <c r="E211" s="9" t="s">
        <v>11</v>
      </c>
      <c r="F211" s="9" t="s">
        <v>11</v>
      </c>
    </row>
    <row r="212" spans="2:6" ht="15.75" hidden="1" thickBot="1" x14ac:dyDescent="0.3">
      <c r="B212" s="5" t="s">
        <v>19</v>
      </c>
      <c r="C212" s="10"/>
      <c r="D212" s="10"/>
      <c r="E212" s="10"/>
      <c r="F212" s="10"/>
    </row>
    <row r="213" spans="2:6" ht="15.75" hidden="1" thickBot="1" x14ac:dyDescent="0.3">
      <c r="B213" s="5" t="s">
        <v>20</v>
      </c>
      <c r="C213" s="10"/>
      <c r="D213" s="10"/>
      <c r="E213" s="10"/>
      <c r="F213" s="10"/>
    </row>
    <row r="214" spans="2:6" ht="15.75" hidden="1" thickBot="1" x14ac:dyDescent="0.3">
      <c r="B214" s="5" t="s">
        <v>21</v>
      </c>
      <c r="C214" s="10" t="e">
        <f>C213/C212</f>
        <v>#DIV/0!</v>
      </c>
      <c r="D214" s="10" t="e">
        <f>D213/D212</f>
        <v>#DIV/0!</v>
      </c>
      <c r="E214" s="10" t="e">
        <f>E213/E212</f>
        <v>#DIV/0!</v>
      </c>
      <c r="F214" s="10" t="e">
        <f>F213/F212</f>
        <v>#DIV/0!</v>
      </c>
    </row>
    <row r="215" spans="2:6" ht="15.75" hidden="1" thickBot="1" x14ac:dyDescent="0.3">
      <c r="B215" s="5" t="s">
        <v>22</v>
      </c>
      <c r="C215" s="594"/>
      <c r="D215" s="11" t="e">
        <f t="shared" ref="D215:F217" si="8">D212/C212-1</f>
        <v>#DIV/0!</v>
      </c>
      <c r="E215" s="11" t="e">
        <f t="shared" si="8"/>
        <v>#DIV/0!</v>
      </c>
      <c r="F215" s="11" t="e">
        <f t="shared" si="8"/>
        <v>#DIV/0!</v>
      </c>
    </row>
    <row r="216" spans="2:6" ht="15.75" hidden="1" thickBot="1" x14ac:dyDescent="0.3">
      <c r="B216" s="5" t="s">
        <v>24</v>
      </c>
      <c r="C216" s="594"/>
      <c r="D216" s="11" t="e">
        <f t="shared" si="8"/>
        <v>#DIV/0!</v>
      </c>
      <c r="E216" s="11" t="e">
        <f t="shared" si="8"/>
        <v>#DIV/0!</v>
      </c>
      <c r="F216" s="11" t="e">
        <f t="shared" si="8"/>
        <v>#DIV/0!</v>
      </c>
    </row>
    <row r="217" spans="2:6" ht="23.25" hidden="1" thickBot="1" x14ac:dyDescent="0.3">
      <c r="B217" s="5" t="s">
        <v>25</v>
      </c>
      <c r="C217" s="594"/>
      <c r="D217" s="11" t="e">
        <f t="shared" si="8"/>
        <v>#DIV/0!</v>
      </c>
      <c r="E217" s="11" t="e">
        <f t="shared" si="8"/>
        <v>#DIV/0!</v>
      </c>
      <c r="F217" s="11" t="e">
        <f t="shared" si="8"/>
        <v>#DIV/0!</v>
      </c>
    </row>
    <row r="218" spans="2:6" ht="15.75" hidden="1" thickBot="1" x14ac:dyDescent="0.3">
      <c r="B218" s="945" t="s">
        <v>1041</v>
      </c>
      <c r="C218" s="946"/>
      <c r="D218" s="946"/>
      <c r="E218" s="946"/>
      <c r="F218" s="947"/>
    </row>
    <row r="219" spans="2:6" ht="12.75" hidden="1" customHeight="1" x14ac:dyDescent="0.25">
      <c r="B219" s="919"/>
      <c r="C219" s="8">
        <v>2018</v>
      </c>
      <c r="D219" s="8">
        <v>2019</v>
      </c>
      <c r="E219" s="8">
        <v>2020</v>
      </c>
      <c r="F219" s="8">
        <v>2021</v>
      </c>
    </row>
    <row r="220" spans="2:6" ht="9" hidden="1" customHeight="1" thickBot="1" x14ac:dyDescent="0.3">
      <c r="B220" s="920"/>
      <c r="C220" s="9" t="s">
        <v>10</v>
      </c>
      <c r="D220" s="9" t="s">
        <v>11</v>
      </c>
      <c r="E220" s="9" t="s">
        <v>11</v>
      </c>
      <c r="F220" s="9" t="s">
        <v>11</v>
      </c>
    </row>
    <row r="221" spans="2:6" ht="15.75" hidden="1" thickBot="1" x14ac:dyDescent="0.3">
      <c r="B221" s="13" t="s">
        <v>26</v>
      </c>
      <c r="C221" s="14"/>
      <c r="D221" s="14"/>
      <c r="E221" s="14"/>
      <c r="F221" s="14"/>
    </row>
    <row r="222" spans="2:6" ht="24.75" hidden="1" thickBot="1" x14ac:dyDescent="0.3">
      <c r="B222" s="13" t="s">
        <v>28</v>
      </c>
      <c r="C222" s="14"/>
      <c r="D222" s="14"/>
      <c r="E222" s="14"/>
      <c r="F222" s="14"/>
    </row>
    <row r="223" spans="2:6" ht="15.75" hidden="1" thickBot="1" x14ac:dyDescent="0.3">
      <c r="B223" s="13" t="s">
        <v>30</v>
      </c>
      <c r="C223" s="15"/>
      <c r="D223" s="14"/>
      <c r="E223" s="14"/>
      <c r="F223" s="14"/>
    </row>
    <row r="224" spans="2:6" ht="15.75" hidden="1" thickBot="1" x14ac:dyDescent="0.3">
      <c r="B224" s="13" t="s">
        <v>32</v>
      </c>
      <c r="C224" s="15"/>
      <c r="D224" s="14"/>
      <c r="E224" s="14"/>
      <c r="F224" s="14"/>
    </row>
    <row r="225" spans="2:6" ht="25.9" hidden="1" customHeight="1" thickBot="1" x14ac:dyDescent="0.3">
      <c r="B225" s="13" t="s">
        <v>34</v>
      </c>
      <c r="C225" s="15"/>
      <c r="D225" s="14"/>
      <c r="E225" s="14"/>
      <c r="F225" s="14"/>
    </row>
    <row r="226" spans="2:6" ht="15.75" hidden="1" thickBot="1" x14ac:dyDescent="0.3">
      <c r="B226" s="13" t="s">
        <v>36</v>
      </c>
      <c r="C226" s="15"/>
      <c r="D226" s="14"/>
      <c r="E226" s="14"/>
      <c r="F226" s="14"/>
    </row>
    <row r="227" spans="2:6" ht="24.75" hidden="1" thickBot="1" x14ac:dyDescent="0.3">
      <c r="B227" s="13" t="s">
        <v>38</v>
      </c>
      <c r="C227" s="15"/>
      <c r="D227" s="14"/>
      <c r="E227" s="14"/>
      <c r="F227" s="14"/>
    </row>
    <row r="228" spans="2:6" ht="36.75" hidden="1" thickBot="1" x14ac:dyDescent="0.3">
      <c r="B228" s="632" t="s">
        <v>71</v>
      </c>
      <c r="C228" s="635">
        <f>C227+C225+C226+C224+C223+C222+C221</f>
        <v>0</v>
      </c>
      <c r="D228" s="635">
        <f>D227+D225+D226+D224+D223+D222+D221</f>
        <v>0</v>
      </c>
      <c r="E228" s="635">
        <f>E227+E225+E226+E224+E223+E222+E221</f>
        <v>0</v>
      </c>
      <c r="F228" s="635">
        <f>F227+F225+F226+F224+F223+F222+F221</f>
        <v>0</v>
      </c>
    </row>
    <row r="229" spans="2:6" ht="15.75" hidden="1" thickBot="1" x14ac:dyDescent="0.3">
      <c r="B229" s="17" t="s">
        <v>41</v>
      </c>
      <c r="C229" s="18">
        <f>IF(C228-C213=0,0,"Error")</f>
        <v>0</v>
      </c>
      <c r="D229" s="18">
        <f>IF(D228-D213=0,0,"Error")</f>
        <v>0</v>
      </c>
      <c r="E229" s="18">
        <f>IF(E228-E213=0,0,"Error")</f>
        <v>0</v>
      </c>
      <c r="F229" s="18">
        <f>IF(F228-F213=0,0,"Error")</f>
        <v>0</v>
      </c>
    </row>
    <row r="230" spans="2:6" ht="15.75" hidden="1" thickBot="1" x14ac:dyDescent="0.3">
      <c r="B230" s="933" t="s">
        <v>63</v>
      </c>
      <c r="C230" s="934"/>
      <c r="D230" s="934"/>
      <c r="E230" s="934"/>
      <c r="F230" s="935"/>
    </row>
    <row r="231" spans="2:6" ht="15.75" hidden="1" thickBot="1" x14ac:dyDescent="0.3">
      <c r="B231" s="933" t="s">
        <v>56</v>
      </c>
      <c r="C231" s="934"/>
      <c r="D231" s="934"/>
      <c r="E231" s="934"/>
      <c r="F231" s="935"/>
    </row>
    <row r="232" spans="2:6" ht="15.75" hidden="1" thickBot="1" x14ac:dyDescent="0.3">
      <c r="B232" s="20" t="s">
        <v>61</v>
      </c>
      <c r="C232" s="961" t="s">
        <v>130</v>
      </c>
      <c r="D232" s="962"/>
      <c r="E232" s="962"/>
      <c r="F232" s="963"/>
    </row>
    <row r="233" spans="2:6" ht="15.75" hidden="1" thickBot="1" x14ac:dyDescent="0.3">
      <c r="B233" s="7" t="s">
        <v>16</v>
      </c>
      <c r="C233" s="960" t="s">
        <v>106</v>
      </c>
      <c r="D233" s="937"/>
      <c r="E233" s="937"/>
      <c r="F233" s="938"/>
    </row>
    <row r="234" spans="2:6" ht="17.25" hidden="1" customHeight="1" thickBot="1" x14ac:dyDescent="0.3">
      <c r="B234" s="5" t="s">
        <v>17</v>
      </c>
      <c r="C234" s="927" t="s">
        <v>106</v>
      </c>
      <c r="D234" s="928"/>
      <c r="E234" s="928"/>
      <c r="F234" s="929"/>
    </row>
    <row r="235" spans="2:6" ht="15.75" hidden="1" thickBot="1" x14ac:dyDescent="0.3">
      <c r="B235" s="5" t="s">
        <v>18</v>
      </c>
      <c r="C235" s="942" t="s">
        <v>106</v>
      </c>
      <c r="D235" s="943"/>
      <c r="E235" s="943"/>
      <c r="F235" s="944"/>
    </row>
    <row r="236" spans="2:6" ht="12.75" hidden="1" customHeight="1" x14ac:dyDescent="0.25">
      <c r="B236" s="919"/>
      <c r="C236" s="8">
        <v>2018</v>
      </c>
      <c r="D236" s="8">
        <v>2019</v>
      </c>
      <c r="E236" s="8">
        <v>2020</v>
      </c>
      <c r="F236" s="8">
        <v>2021</v>
      </c>
    </row>
    <row r="237" spans="2:6" ht="9" hidden="1" customHeight="1" thickBot="1" x14ac:dyDescent="0.3">
      <c r="B237" s="920"/>
      <c r="C237" s="9" t="s">
        <v>10</v>
      </c>
      <c r="D237" s="9" t="s">
        <v>11</v>
      </c>
      <c r="E237" s="9" t="s">
        <v>11</v>
      </c>
      <c r="F237" s="9" t="s">
        <v>11</v>
      </c>
    </row>
    <row r="238" spans="2:6" ht="15.75" hidden="1" thickBot="1" x14ac:dyDescent="0.3">
      <c r="B238" s="5" t="s">
        <v>19</v>
      </c>
      <c r="C238" s="10"/>
      <c r="D238" s="10"/>
      <c r="E238" s="10"/>
      <c r="F238" s="10"/>
    </row>
    <row r="239" spans="2:6" ht="15.75" hidden="1" thickBot="1" x14ac:dyDescent="0.3">
      <c r="B239" s="5" t="s">
        <v>20</v>
      </c>
      <c r="C239" s="10"/>
      <c r="D239" s="10"/>
      <c r="E239" s="10"/>
      <c r="F239" s="10"/>
    </row>
    <row r="240" spans="2:6" ht="15.75" hidden="1" thickBot="1" x14ac:dyDescent="0.3">
      <c r="B240" s="5" t="s">
        <v>21</v>
      </c>
      <c r="C240" s="10" t="e">
        <f>C239/C238</f>
        <v>#DIV/0!</v>
      </c>
      <c r="D240" s="10" t="e">
        <f>D239/D238</f>
        <v>#DIV/0!</v>
      </c>
      <c r="E240" s="10" t="e">
        <f>E239/E238</f>
        <v>#DIV/0!</v>
      </c>
      <c r="F240" s="10" t="e">
        <f>F239/F238</f>
        <v>#DIV/0!</v>
      </c>
    </row>
    <row r="241" spans="2:12" ht="15.75" hidden="1" thickBot="1" x14ac:dyDescent="0.3">
      <c r="B241" s="5" t="s">
        <v>22</v>
      </c>
      <c r="C241" s="594" t="s">
        <v>23</v>
      </c>
      <c r="D241" s="11" t="e">
        <f t="shared" ref="D241:F243" si="9">D238/C238-1</f>
        <v>#DIV/0!</v>
      </c>
      <c r="E241" s="11" t="e">
        <f t="shared" si="9"/>
        <v>#DIV/0!</v>
      </c>
      <c r="F241" s="11" t="e">
        <f t="shared" si="9"/>
        <v>#DIV/0!</v>
      </c>
      <c r="H241" s="12"/>
      <c r="I241" s="12"/>
      <c r="J241" s="12"/>
      <c r="K241" s="12"/>
      <c r="L241" s="12"/>
    </row>
    <row r="242" spans="2:12" ht="15.75" hidden="1" thickBot="1" x14ac:dyDescent="0.3">
      <c r="B242" s="5" t="s">
        <v>24</v>
      </c>
      <c r="C242" s="594" t="s">
        <v>23</v>
      </c>
      <c r="D242" s="11" t="e">
        <f t="shared" si="9"/>
        <v>#DIV/0!</v>
      </c>
      <c r="E242" s="11" t="e">
        <f t="shared" si="9"/>
        <v>#DIV/0!</v>
      </c>
      <c r="F242" s="11" t="e">
        <f t="shared" si="9"/>
        <v>#DIV/0!</v>
      </c>
    </row>
    <row r="243" spans="2:12" ht="23.25" hidden="1" thickBot="1" x14ac:dyDescent="0.3">
      <c r="B243" s="5" t="s">
        <v>25</v>
      </c>
      <c r="C243" s="594" t="s">
        <v>23</v>
      </c>
      <c r="D243" s="11" t="e">
        <f t="shared" si="9"/>
        <v>#DIV/0!</v>
      </c>
      <c r="E243" s="11" t="e">
        <f t="shared" si="9"/>
        <v>#DIV/0!</v>
      </c>
      <c r="F243" s="11" t="e">
        <f t="shared" si="9"/>
        <v>#DIV/0!</v>
      </c>
    </row>
    <row r="244" spans="2:12" ht="15.75" hidden="1" thickBot="1" x14ac:dyDescent="0.3">
      <c r="B244" s="945" t="s">
        <v>1031</v>
      </c>
      <c r="C244" s="946"/>
      <c r="D244" s="946"/>
      <c r="E244" s="946"/>
      <c r="F244" s="947"/>
    </row>
    <row r="245" spans="2:12" ht="12.75" hidden="1" customHeight="1" x14ac:dyDescent="0.25">
      <c r="B245" s="919"/>
      <c r="C245" s="8">
        <v>2018</v>
      </c>
      <c r="D245" s="8">
        <v>2019</v>
      </c>
      <c r="E245" s="8">
        <v>2020</v>
      </c>
      <c r="F245" s="8">
        <v>2021</v>
      </c>
    </row>
    <row r="246" spans="2:12" ht="9" hidden="1" customHeight="1" thickBot="1" x14ac:dyDescent="0.3">
      <c r="B246" s="920"/>
      <c r="C246" s="9" t="s">
        <v>10</v>
      </c>
      <c r="D246" s="9" t="s">
        <v>11</v>
      </c>
      <c r="E246" s="9" t="s">
        <v>11</v>
      </c>
      <c r="F246" s="9" t="s">
        <v>11</v>
      </c>
    </row>
    <row r="247" spans="2:12" ht="15.75" hidden="1" thickBot="1" x14ac:dyDescent="0.3">
      <c r="B247" s="13" t="s">
        <v>58</v>
      </c>
      <c r="C247" s="14"/>
      <c r="D247" s="14"/>
      <c r="E247" s="14"/>
      <c r="F247" s="14"/>
    </row>
    <row r="248" spans="2:12" ht="15.75" hidden="1" thickBot="1" x14ac:dyDescent="0.3">
      <c r="B248" s="13" t="s">
        <v>59</v>
      </c>
      <c r="C248" s="15"/>
      <c r="D248" s="14"/>
      <c r="E248" s="14"/>
      <c r="F248" s="14"/>
    </row>
    <row r="249" spans="2:12" ht="24.75" hidden="1" thickBot="1" x14ac:dyDescent="0.3">
      <c r="B249" s="16" t="s">
        <v>40</v>
      </c>
      <c r="C249" s="15">
        <f>C248+C247</f>
        <v>0</v>
      </c>
      <c r="D249" s="15">
        <f>D248+D247</f>
        <v>0</v>
      </c>
      <c r="E249" s="15">
        <f>E248+E247</f>
        <v>0</v>
      </c>
      <c r="F249" s="15">
        <f>F248+F247</f>
        <v>0</v>
      </c>
    </row>
    <row r="250" spans="2:12" ht="15.75" hidden="1" thickBot="1" x14ac:dyDescent="0.3">
      <c r="B250" s="20" t="s">
        <v>61</v>
      </c>
      <c r="C250" s="961" t="s">
        <v>130</v>
      </c>
      <c r="D250" s="962"/>
      <c r="E250" s="962"/>
      <c r="F250" s="963"/>
    </row>
    <row r="251" spans="2:12" ht="23.25" hidden="1" thickBot="1" x14ac:dyDescent="0.3">
      <c r="B251" s="7" t="s">
        <v>129</v>
      </c>
      <c r="C251" s="960" t="s">
        <v>106</v>
      </c>
      <c r="D251" s="937"/>
      <c r="E251" s="937"/>
      <c r="F251" s="938"/>
    </row>
    <row r="252" spans="2:12" ht="17.25" hidden="1" customHeight="1" thickBot="1" x14ac:dyDescent="0.3">
      <c r="B252" s="5" t="s">
        <v>17</v>
      </c>
      <c r="C252" s="927" t="s">
        <v>106</v>
      </c>
      <c r="D252" s="928"/>
      <c r="E252" s="928"/>
      <c r="F252" s="929"/>
    </row>
    <row r="253" spans="2:12" ht="15.75" hidden="1" thickBot="1" x14ac:dyDescent="0.3">
      <c r="B253" s="5" t="s">
        <v>18</v>
      </c>
      <c r="C253" s="942" t="s">
        <v>106</v>
      </c>
      <c r="D253" s="943"/>
      <c r="E253" s="943"/>
      <c r="F253" s="944"/>
    </row>
    <row r="254" spans="2:12" ht="12.75" hidden="1" customHeight="1" x14ac:dyDescent="0.25">
      <c r="B254" s="919"/>
      <c r="C254" s="8">
        <v>2018</v>
      </c>
      <c r="D254" s="8">
        <v>2019</v>
      </c>
      <c r="E254" s="8">
        <v>2020</v>
      </c>
      <c r="F254" s="8">
        <v>2021</v>
      </c>
    </row>
    <row r="255" spans="2:12" ht="9" hidden="1" customHeight="1" thickBot="1" x14ac:dyDescent="0.3">
      <c r="B255" s="920"/>
      <c r="C255" s="9" t="s">
        <v>10</v>
      </c>
      <c r="D255" s="9" t="s">
        <v>11</v>
      </c>
      <c r="E255" s="9" t="s">
        <v>11</v>
      </c>
      <c r="F255" s="9" t="s">
        <v>11</v>
      </c>
    </row>
    <row r="256" spans="2:12" ht="15.75" hidden="1" thickBot="1" x14ac:dyDescent="0.3">
      <c r="B256" s="5" t="s">
        <v>19</v>
      </c>
      <c r="C256" s="10"/>
      <c r="D256" s="10"/>
      <c r="E256" s="10"/>
      <c r="F256" s="10"/>
    </row>
    <row r="257" spans="2:12" ht="15.75" hidden="1" thickBot="1" x14ac:dyDescent="0.3">
      <c r="B257" s="5" t="s">
        <v>20</v>
      </c>
      <c r="C257" s="10"/>
      <c r="D257" s="10"/>
      <c r="E257" s="10"/>
      <c r="F257" s="10"/>
    </row>
    <row r="258" spans="2:12" ht="15.75" hidden="1" thickBot="1" x14ac:dyDescent="0.3">
      <c r="B258" s="5" t="s">
        <v>21</v>
      </c>
      <c r="C258" s="10" t="e">
        <f>C257/C256</f>
        <v>#DIV/0!</v>
      </c>
      <c r="D258" s="10" t="e">
        <f>D257/D256</f>
        <v>#DIV/0!</v>
      </c>
      <c r="E258" s="10" t="e">
        <f>E257/E256</f>
        <v>#DIV/0!</v>
      </c>
      <c r="F258" s="10" t="e">
        <f>F257/F256</f>
        <v>#DIV/0!</v>
      </c>
    </row>
    <row r="259" spans="2:12" ht="15.75" hidden="1" thickBot="1" x14ac:dyDescent="0.3">
      <c r="B259" s="5" t="s">
        <v>22</v>
      </c>
      <c r="C259" s="594" t="s">
        <v>23</v>
      </c>
      <c r="D259" s="11" t="e">
        <f t="shared" ref="D259:F261" si="10">D256/C256-1</f>
        <v>#DIV/0!</v>
      </c>
      <c r="E259" s="11" t="e">
        <f t="shared" si="10"/>
        <v>#DIV/0!</v>
      </c>
      <c r="F259" s="11" t="e">
        <f t="shared" si="10"/>
        <v>#DIV/0!</v>
      </c>
      <c r="H259" s="12"/>
      <c r="I259" s="12"/>
      <c r="J259" s="12"/>
      <c r="K259" s="12"/>
      <c r="L259" s="12"/>
    </row>
    <row r="260" spans="2:12" ht="15.75" hidden="1" thickBot="1" x14ac:dyDescent="0.3">
      <c r="B260" s="5" t="s">
        <v>24</v>
      </c>
      <c r="C260" s="594" t="s">
        <v>23</v>
      </c>
      <c r="D260" s="11" t="e">
        <f t="shared" si="10"/>
        <v>#DIV/0!</v>
      </c>
      <c r="E260" s="11" t="e">
        <f t="shared" si="10"/>
        <v>#DIV/0!</v>
      </c>
      <c r="F260" s="11" t="e">
        <f t="shared" si="10"/>
        <v>#DIV/0!</v>
      </c>
    </row>
    <row r="261" spans="2:12" ht="23.25" hidden="1" thickBot="1" x14ac:dyDescent="0.3">
      <c r="B261" s="5" t="s">
        <v>25</v>
      </c>
      <c r="C261" s="594" t="s">
        <v>23</v>
      </c>
      <c r="D261" s="11" t="e">
        <f t="shared" si="10"/>
        <v>#DIV/0!</v>
      </c>
      <c r="E261" s="11" t="e">
        <f t="shared" si="10"/>
        <v>#DIV/0!</v>
      </c>
      <c r="F261" s="11" t="e">
        <f t="shared" si="10"/>
        <v>#DIV/0!</v>
      </c>
    </row>
    <row r="262" spans="2:12" ht="15.75" hidden="1" thickBot="1" x14ac:dyDescent="0.3">
      <c r="B262" s="945" t="s">
        <v>1041</v>
      </c>
      <c r="C262" s="946"/>
      <c r="D262" s="946"/>
      <c r="E262" s="946"/>
      <c r="F262" s="947"/>
    </row>
    <row r="263" spans="2:12" ht="12.75" hidden="1" customHeight="1" x14ac:dyDescent="0.25">
      <c r="B263" s="919"/>
      <c r="C263" s="8">
        <v>2018</v>
      </c>
      <c r="D263" s="8">
        <v>2019</v>
      </c>
      <c r="E263" s="8">
        <v>2020</v>
      </c>
      <c r="F263" s="8">
        <v>2021</v>
      </c>
    </row>
    <row r="264" spans="2:12" ht="9" hidden="1" customHeight="1" thickBot="1" x14ac:dyDescent="0.3">
      <c r="B264" s="920"/>
      <c r="C264" s="9" t="s">
        <v>10</v>
      </c>
      <c r="D264" s="9" t="s">
        <v>11</v>
      </c>
      <c r="E264" s="9" t="s">
        <v>11</v>
      </c>
      <c r="F264" s="9" t="s">
        <v>11</v>
      </c>
    </row>
    <row r="265" spans="2:12" ht="15.75" hidden="1" thickBot="1" x14ac:dyDescent="0.3">
      <c r="B265" s="13" t="s">
        <v>58</v>
      </c>
      <c r="C265" s="14"/>
      <c r="D265" s="14"/>
      <c r="E265" s="14"/>
      <c r="F265" s="14"/>
    </row>
    <row r="266" spans="2:12" ht="15.75" hidden="1" thickBot="1" x14ac:dyDescent="0.3">
      <c r="B266" s="13" t="s">
        <v>59</v>
      </c>
      <c r="C266" s="15"/>
      <c r="D266" s="14"/>
      <c r="E266" s="14"/>
      <c r="F266" s="14"/>
    </row>
    <row r="267" spans="2:12" ht="24.75" hidden="1" thickBot="1" x14ac:dyDescent="0.3">
      <c r="B267" s="16" t="s">
        <v>74</v>
      </c>
      <c r="C267" s="15">
        <f>C266+C265</f>
        <v>0</v>
      </c>
      <c r="D267" s="15">
        <f>D266+D265</f>
        <v>0</v>
      </c>
      <c r="E267" s="15">
        <f>E266+E265</f>
        <v>0</v>
      </c>
      <c r="F267" s="15">
        <f>F266+F265</f>
        <v>0</v>
      </c>
    </row>
    <row r="268" spans="2:12" ht="15.75" hidden="1" thickBot="1" x14ac:dyDescent="0.3">
      <c r="B268" s="933" t="s">
        <v>63</v>
      </c>
      <c r="C268" s="934"/>
      <c r="D268" s="934"/>
      <c r="E268" s="934"/>
      <c r="F268" s="935"/>
    </row>
    <row r="269" spans="2:12" ht="15.75" hidden="1" thickBot="1" x14ac:dyDescent="0.3">
      <c r="B269" s="933" t="s">
        <v>64</v>
      </c>
      <c r="C269" s="934"/>
      <c r="D269" s="934"/>
      <c r="E269" s="934"/>
      <c r="F269" s="935"/>
    </row>
    <row r="270" spans="2:12" ht="15.75" hidden="1" thickBot="1" x14ac:dyDescent="0.3">
      <c r="B270" s="20" t="s">
        <v>61</v>
      </c>
      <c r="C270" s="961" t="s">
        <v>130</v>
      </c>
      <c r="D270" s="962"/>
      <c r="E270" s="962"/>
      <c r="F270" s="963"/>
    </row>
    <row r="271" spans="2:12" ht="15.75" hidden="1" thickBot="1" x14ac:dyDescent="0.3">
      <c r="B271" s="7" t="s">
        <v>16</v>
      </c>
      <c r="C271" s="960" t="s">
        <v>106</v>
      </c>
      <c r="D271" s="937"/>
      <c r="E271" s="937"/>
      <c r="F271" s="938"/>
    </row>
    <row r="272" spans="2:12" ht="17.25" hidden="1" customHeight="1" thickBot="1" x14ac:dyDescent="0.3">
      <c r="B272" s="5" t="s">
        <v>17</v>
      </c>
      <c r="C272" s="927" t="s">
        <v>106</v>
      </c>
      <c r="D272" s="928"/>
      <c r="E272" s="928"/>
      <c r="F272" s="929"/>
    </row>
    <row r="273" spans="2:12" ht="15.75" hidden="1" thickBot="1" x14ac:dyDescent="0.3">
      <c r="B273" s="5" t="s">
        <v>18</v>
      </c>
      <c r="C273" s="942" t="s">
        <v>106</v>
      </c>
      <c r="D273" s="943"/>
      <c r="E273" s="943"/>
      <c r="F273" s="944"/>
    </row>
    <row r="274" spans="2:12" ht="12.75" hidden="1" customHeight="1" x14ac:dyDescent="0.25">
      <c r="B274" s="919"/>
      <c r="C274" s="8">
        <v>2018</v>
      </c>
      <c r="D274" s="8">
        <v>2019</v>
      </c>
      <c r="E274" s="8">
        <v>2020</v>
      </c>
      <c r="F274" s="8">
        <v>2021</v>
      </c>
    </row>
    <row r="275" spans="2:12" ht="9" hidden="1" customHeight="1" thickBot="1" x14ac:dyDescent="0.3">
      <c r="B275" s="920"/>
      <c r="C275" s="9" t="s">
        <v>10</v>
      </c>
      <c r="D275" s="9" t="s">
        <v>11</v>
      </c>
      <c r="E275" s="9" t="s">
        <v>11</v>
      </c>
      <c r="F275" s="9" t="s">
        <v>11</v>
      </c>
    </row>
    <row r="276" spans="2:12" ht="15.75" hidden="1" thickBot="1" x14ac:dyDescent="0.3">
      <c r="B276" s="5" t="s">
        <v>19</v>
      </c>
      <c r="C276" s="10"/>
      <c r="D276" s="10"/>
      <c r="E276" s="10"/>
      <c r="F276" s="10"/>
    </row>
    <row r="277" spans="2:12" ht="15.75" hidden="1" thickBot="1" x14ac:dyDescent="0.3">
      <c r="B277" s="5" t="s">
        <v>20</v>
      </c>
      <c r="C277" s="10"/>
      <c r="D277" s="10"/>
      <c r="E277" s="10"/>
      <c r="F277" s="10"/>
    </row>
    <row r="278" spans="2:12" ht="15.75" hidden="1" thickBot="1" x14ac:dyDescent="0.3">
      <c r="B278" s="5" t="s">
        <v>21</v>
      </c>
      <c r="C278" s="10" t="e">
        <f>C277/C276</f>
        <v>#DIV/0!</v>
      </c>
      <c r="D278" s="10" t="e">
        <f>D277/D276</f>
        <v>#DIV/0!</v>
      </c>
      <c r="E278" s="10" t="e">
        <f>E277/E276</f>
        <v>#DIV/0!</v>
      </c>
      <c r="F278" s="10" t="e">
        <f>F277/F276</f>
        <v>#DIV/0!</v>
      </c>
    </row>
    <row r="279" spans="2:12" ht="15.75" hidden="1" thickBot="1" x14ac:dyDescent="0.3">
      <c r="B279" s="5" t="s">
        <v>22</v>
      </c>
      <c r="C279" s="594" t="s">
        <v>23</v>
      </c>
      <c r="D279" s="11" t="e">
        <f t="shared" ref="D279:F281" si="11">D276/C276-1</f>
        <v>#DIV/0!</v>
      </c>
      <c r="E279" s="11" t="e">
        <f t="shared" si="11"/>
        <v>#DIV/0!</v>
      </c>
      <c r="F279" s="11" t="e">
        <f t="shared" si="11"/>
        <v>#DIV/0!</v>
      </c>
      <c r="H279" s="12"/>
      <c r="I279" s="12"/>
      <c r="J279" s="12"/>
      <c r="K279" s="12"/>
      <c r="L279" s="12"/>
    </row>
    <row r="280" spans="2:12" ht="15.75" hidden="1" thickBot="1" x14ac:dyDescent="0.3">
      <c r="B280" s="5" t="s">
        <v>24</v>
      </c>
      <c r="C280" s="594" t="s">
        <v>23</v>
      </c>
      <c r="D280" s="11" t="e">
        <f t="shared" si="11"/>
        <v>#DIV/0!</v>
      </c>
      <c r="E280" s="11" t="e">
        <f t="shared" si="11"/>
        <v>#DIV/0!</v>
      </c>
      <c r="F280" s="11" t="e">
        <f t="shared" si="11"/>
        <v>#DIV/0!</v>
      </c>
    </row>
    <row r="281" spans="2:12" ht="23.25" hidden="1" thickBot="1" x14ac:dyDescent="0.3">
      <c r="B281" s="5" t="s">
        <v>25</v>
      </c>
      <c r="C281" s="594" t="s">
        <v>23</v>
      </c>
      <c r="D281" s="11" t="e">
        <f t="shared" si="11"/>
        <v>#DIV/0!</v>
      </c>
      <c r="E281" s="11" t="e">
        <f t="shared" si="11"/>
        <v>#DIV/0!</v>
      </c>
      <c r="F281" s="11" t="e">
        <f t="shared" si="11"/>
        <v>#DIV/0!</v>
      </c>
    </row>
    <row r="282" spans="2:12" ht="15.75" hidden="1" thickBot="1" x14ac:dyDescent="0.3">
      <c r="B282" s="945" t="s">
        <v>1031</v>
      </c>
      <c r="C282" s="946"/>
      <c r="D282" s="946"/>
      <c r="E282" s="946"/>
      <c r="F282" s="947"/>
    </row>
    <row r="283" spans="2:12" ht="12.75" hidden="1" customHeight="1" x14ac:dyDescent="0.25">
      <c r="B283" s="919"/>
      <c r="C283" s="8">
        <v>2018</v>
      </c>
      <c r="D283" s="8">
        <v>2019</v>
      </c>
      <c r="E283" s="8">
        <v>2020</v>
      </c>
      <c r="F283" s="8">
        <v>2021</v>
      </c>
    </row>
    <row r="284" spans="2:12" ht="9" hidden="1" customHeight="1" thickBot="1" x14ac:dyDescent="0.3">
      <c r="B284" s="920"/>
      <c r="C284" s="9" t="s">
        <v>10</v>
      </c>
      <c r="D284" s="9" t="s">
        <v>11</v>
      </c>
      <c r="E284" s="9" t="s">
        <v>11</v>
      </c>
      <c r="F284" s="9" t="s">
        <v>11</v>
      </c>
    </row>
    <row r="285" spans="2:12" ht="15.75" hidden="1" thickBot="1" x14ac:dyDescent="0.3">
      <c r="B285" s="13" t="s">
        <v>58</v>
      </c>
      <c r="C285" s="14"/>
      <c r="D285" s="14"/>
      <c r="E285" s="14"/>
      <c r="F285" s="14"/>
    </row>
    <row r="286" spans="2:12" ht="15.75" hidden="1" thickBot="1" x14ac:dyDescent="0.3">
      <c r="B286" s="13" t="s">
        <v>59</v>
      </c>
      <c r="C286" s="15"/>
      <c r="D286" s="14"/>
      <c r="E286" s="14"/>
      <c r="F286" s="14"/>
    </row>
    <row r="287" spans="2:12" ht="24.75" hidden="1" thickBot="1" x14ac:dyDescent="0.3">
      <c r="B287" s="16" t="s">
        <v>40</v>
      </c>
      <c r="C287" s="15">
        <f>C286+C285</f>
        <v>0</v>
      </c>
      <c r="D287" s="15">
        <f>D286+D285</f>
        <v>0</v>
      </c>
      <c r="E287" s="15">
        <f>E286+E285</f>
        <v>0</v>
      </c>
      <c r="F287" s="15">
        <f>F286+F285</f>
        <v>0</v>
      </c>
    </row>
    <row r="288" spans="2:12" ht="15.75" hidden="1" thickBot="1" x14ac:dyDescent="0.3">
      <c r="B288" s="20" t="s">
        <v>61</v>
      </c>
      <c r="C288" s="961" t="s">
        <v>130</v>
      </c>
      <c r="D288" s="962"/>
      <c r="E288" s="962"/>
      <c r="F288" s="963"/>
    </row>
    <row r="289" spans="2:12" ht="23.25" hidden="1" thickBot="1" x14ac:dyDescent="0.3">
      <c r="B289" s="7" t="s">
        <v>129</v>
      </c>
      <c r="C289" s="960" t="s">
        <v>106</v>
      </c>
      <c r="D289" s="937"/>
      <c r="E289" s="937"/>
      <c r="F289" s="938"/>
    </row>
    <row r="290" spans="2:12" ht="17.25" hidden="1" customHeight="1" thickBot="1" x14ac:dyDescent="0.3">
      <c r="B290" s="5" t="s">
        <v>17</v>
      </c>
      <c r="C290" s="927" t="s">
        <v>106</v>
      </c>
      <c r="D290" s="928"/>
      <c r="E290" s="928"/>
      <c r="F290" s="929"/>
    </row>
    <row r="291" spans="2:12" ht="15.75" hidden="1" thickBot="1" x14ac:dyDescent="0.3">
      <c r="B291" s="5" t="s">
        <v>18</v>
      </c>
      <c r="C291" s="942" t="s">
        <v>106</v>
      </c>
      <c r="D291" s="943"/>
      <c r="E291" s="943"/>
      <c r="F291" s="944"/>
    </row>
    <row r="292" spans="2:12" ht="12.75" hidden="1" customHeight="1" x14ac:dyDescent="0.25">
      <c r="B292" s="919"/>
      <c r="C292" s="8">
        <v>2018</v>
      </c>
      <c r="D292" s="8">
        <v>2019</v>
      </c>
      <c r="E292" s="8">
        <v>2020</v>
      </c>
      <c r="F292" s="8">
        <v>2021</v>
      </c>
    </row>
    <row r="293" spans="2:12" ht="9" hidden="1" customHeight="1" thickBot="1" x14ac:dyDescent="0.3">
      <c r="B293" s="920"/>
      <c r="C293" s="9" t="s">
        <v>10</v>
      </c>
      <c r="D293" s="9" t="s">
        <v>11</v>
      </c>
      <c r="E293" s="9" t="s">
        <v>11</v>
      </c>
      <c r="F293" s="9" t="s">
        <v>11</v>
      </c>
    </row>
    <row r="294" spans="2:12" ht="15.75" hidden="1" thickBot="1" x14ac:dyDescent="0.3">
      <c r="B294" s="5" t="s">
        <v>19</v>
      </c>
      <c r="C294" s="10"/>
      <c r="D294" s="10"/>
      <c r="E294" s="10"/>
      <c r="F294" s="10"/>
    </row>
    <row r="295" spans="2:12" ht="15.75" hidden="1" thickBot="1" x14ac:dyDescent="0.3">
      <c r="B295" s="5" t="s">
        <v>20</v>
      </c>
      <c r="C295" s="10"/>
      <c r="D295" s="10"/>
      <c r="E295" s="10"/>
      <c r="F295" s="10"/>
    </row>
    <row r="296" spans="2:12" ht="15.75" hidden="1" thickBot="1" x14ac:dyDescent="0.3">
      <c r="B296" s="5" t="s">
        <v>21</v>
      </c>
      <c r="C296" s="10" t="e">
        <f>C295/C294</f>
        <v>#DIV/0!</v>
      </c>
      <c r="D296" s="10" t="e">
        <f>D295/D294</f>
        <v>#DIV/0!</v>
      </c>
      <c r="E296" s="10" t="e">
        <f>E295/E294</f>
        <v>#DIV/0!</v>
      </c>
      <c r="F296" s="10" t="e">
        <f>F295/F294</f>
        <v>#DIV/0!</v>
      </c>
    </row>
    <row r="297" spans="2:12" ht="15.75" hidden="1" thickBot="1" x14ac:dyDescent="0.3">
      <c r="B297" s="5" t="s">
        <v>22</v>
      </c>
      <c r="C297" s="594" t="s">
        <v>23</v>
      </c>
      <c r="D297" s="11" t="e">
        <f t="shared" ref="D297:F299" si="12">D294/C294-1</f>
        <v>#DIV/0!</v>
      </c>
      <c r="E297" s="11" t="e">
        <f t="shared" si="12"/>
        <v>#DIV/0!</v>
      </c>
      <c r="F297" s="11" t="e">
        <f t="shared" si="12"/>
        <v>#DIV/0!</v>
      </c>
      <c r="H297" s="12"/>
      <c r="I297" s="12"/>
      <c r="J297" s="12"/>
      <c r="K297" s="12"/>
      <c r="L297" s="12"/>
    </row>
    <row r="298" spans="2:12" ht="15.75" hidden="1" thickBot="1" x14ac:dyDescent="0.3">
      <c r="B298" s="5" t="s">
        <v>24</v>
      </c>
      <c r="C298" s="594" t="s">
        <v>23</v>
      </c>
      <c r="D298" s="11" t="e">
        <f t="shared" si="12"/>
        <v>#DIV/0!</v>
      </c>
      <c r="E298" s="11" t="e">
        <f t="shared" si="12"/>
        <v>#DIV/0!</v>
      </c>
      <c r="F298" s="11" t="e">
        <f t="shared" si="12"/>
        <v>#DIV/0!</v>
      </c>
    </row>
    <row r="299" spans="2:12" ht="23.25" hidden="1" thickBot="1" x14ac:dyDescent="0.3">
      <c r="B299" s="5" t="s">
        <v>25</v>
      </c>
      <c r="C299" s="594" t="s">
        <v>23</v>
      </c>
      <c r="D299" s="11" t="e">
        <f t="shared" si="12"/>
        <v>#DIV/0!</v>
      </c>
      <c r="E299" s="11" t="e">
        <f t="shared" si="12"/>
        <v>#DIV/0!</v>
      </c>
      <c r="F299" s="11" t="e">
        <f t="shared" si="12"/>
        <v>#DIV/0!</v>
      </c>
    </row>
    <row r="300" spans="2:12" ht="15.75" hidden="1" thickBot="1" x14ac:dyDescent="0.3">
      <c r="B300" s="945" t="s">
        <v>1041</v>
      </c>
      <c r="C300" s="946"/>
      <c r="D300" s="946"/>
      <c r="E300" s="946"/>
      <c r="F300" s="947"/>
    </row>
    <row r="301" spans="2:12" ht="12.75" hidden="1" customHeight="1" x14ac:dyDescent="0.25">
      <c r="B301" s="919"/>
      <c r="C301" s="8">
        <v>2018</v>
      </c>
      <c r="D301" s="8">
        <v>2019</v>
      </c>
      <c r="E301" s="8">
        <v>2020</v>
      </c>
      <c r="F301" s="8">
        <v>2021</v>
      </c>
    </row>
    <row r="302" spans="2:12" ht="9" hidden="1" customHeight="1" thickBot="1" x14ac:dyDescent="0.3">
      <c r="B302" s="920"/>
      <c r="C302" s="9" t="s">
        <v>10</v>
      </c>
      <c r="D302" s="9" t="s">
        <v>11</v>
      </c>
      <c r="E302" s="9" t="s">
        <v>11</v>
      </c>
      <c r="F302" s="9" t="s">
        <v>11</v>
      </c>
    </row>
    <row r="303" spans="2:12" ht="15.75" hidden="1" thickBot="1" x14ac:dyDescent="0.3">
      <c r="B303" s="13" t="s">
        <v>58</v>
      </c>
      <c r="C303" s="14"/>
      <c r="D303" s="14"/>
      <c r="E303" s="14"/>
      <c r="F303" s="14"/>
    </row>
    <row r="304" spans="2:12" ht="15.75" hidden="1" thickBot="1" x14ac:dyDescent="0.3">
      <c r="B304" s="13" t="s">
        <v>59</v>
      </c>
      <c r="C304" s="15"/>
      <c r="D304" s="14"/>
      <c r="E304" s="14"/>
      <c r="F304" s="14"/>
    </row>
    <row r="305" spans="2:6" ht="24.75" hidden="1" thickBot="1" x14ac:dyDescent="0.3">
      <c r="B305" s="16" t="s">
        <v>74</v>
      </c>
      <c r="C305" s="15">
        <f>C304+C303</f>
        <v>0</v>
      </c>
      <c r="D305" s="15">
        <f>D304+D303</f>
        <v>0</v>
      </c>
      <c r="E305" s="15">
        <f>E304+E303</f>
        <v>0</v>
      </c>
      <c r="F305" s="15">
        <f>F304+F303</f>
        <v>0</v>
      </c>
    </row>
    <row r="306" spans="2:6" ht="15.75" thickBot="1" x14ac:dyDescent="0.3">
      <c r="B306" s="22"/>
      <c r="C306" s="23"/>
      <c r="D306" s="23"/>
      <c r="E306" s="23"/>
      <c r="F306" s="23"/>
    </row>
    <row r="307" spans="2:6" ht="36" customHeight="1" thickBot="1" x14ac:dyDescent="0.3">
      <c r="B307" s="6" t="s">
        <v>82</v>
      </c>
      <c r="C307" s="24">
        <f>C295+C277+C257+C239+C213+C188+C162+C144+C124+C103+C54+C31+C154+C77</f>
        <v>124500</v>
      </c>
      <c r="D307" s="24">
        <f>D295+D277+D257+D239+D213+D188+D162+D144+D124+D103+D54+D31+D154+D77</f>
        <v>124000</v>
      </c>
      <c r="E307" s="24">
        <f>E295+E277+E257+E239+E213+E188+E162+E144+E124+E103+E54+E31+E154+E77</f>
        <v>125000</v>
      </c>
      <c r="F307" s="24">
        <f>F295+F277+F257+F239+F213+F188+F162+F144+F124+F103+F54+F31+F154+F77</f>
        <v>126000</v>
      </c>
    </row>
    <row r="308" spans="2:6" ht="36.75" thickBot="1" x14ac:dyDescent="0.3">
      <c r="B308" s="6" t="s">
        <v>83</v>
      </c>
      <c r="C308" s="24">
        <f>C310+C312+C314+C316+C318+C320+C322+C324+C326+C77</f>
        <v>124500</v>
      </c>
      <c r="D308" s="24">
        <f>D310+D312+D314+D316+D318+D320+D322+D324+D326+D77</f>
        <v>124000</v>
      </c>
      <c r="E308" s="24">
        <f>E310+E312+E314+E316+E318+E320+E322+E324+E326+E77</f>
        <v>125000</v>
      </c>
      <c r="F308" s="24">
        <f>F310+F312+F314+F316+F318+F320+F322+F324+F326+F77</f>
        <v>126000</v>
      </c>
    </row>
    <row r="309" spans="2:6" ht="22.5" customHeight="1" thickBot="1" x14ac:dyDescent="0.3">
      <c r="B309" s="25" t="s">
        <v>84</v>
      </c>
      <c r="C309" s="26"/>
      <c r="D309" s="27">
        <f>D308/C308-1</f>
        <v>-4.0160642570281624E-3</v>
      </c>
      <c r="E309" s="27">
        <f>E308/D308-1</f>
        <v>8.0645161290322509E-3</v>
      </c>
      <c r="F309" s="27">
        <f>F308/E308-1</f>
        <v>8.0000000000000071E-3</v>
      </c>
    </row>
    <row r="310" spans="2:6" ht="15.75" thickBot="1" x14ac:dyDescent="0.3">
      <c r="B310" s="13" t="s">
        <v>26</v>
      </c>
      <c r="C310" s="14">
        <f>C221+C198+C62+C39</f>
        <v>9660</v>
      </c>
      <c r="D310" s="14">
        <f>D221+D198+D62+D39</f>
        <v>9660</v>
      </c>
      <c r="E310" s="14">
        <f>E221+E198+E62+E39</f>
        <v>9660</v>
      </c>
      <c r="F310" s="14">
        <f>F221+F198+F62+F39</f>
        <v>9660</v>
      </c>
    </row>
    <row r="311" spans="2:6" ht="15.75" thickBot="1" x14ac:dyDescent="0.3">
      <c r="B311" s="28" t="s">
        <v>85</v>
      </c>
      <c r="C311" s="15"/>
      <c r="D311" s="29">
        <f>D310/C310-1</f>
        <v>0</v>
      </c>
      <c r="E311" s="29">
        <f>E310/D310-1</f>
        <v>0</v>
      </c>
      <c r="F311" s="29">
        <f>F310/E310-1</f>
        <v>0</v>
      </c>
    </row>
    <row r="312" spans="2:6" ht="24.75" thickBot="1" x14ac:dyDescent="0.3">
      <c r="B312" s="13" t="s">
        <v>28</v>
      </c>
      <c r="C312" s="14">
        <f>C222+C199+C63+C40</f>
        <v>1890</v>
      </c>
      <c r="D312" s="14">
        <f>D222+D199+D63+D40</f>
        <v>1890</v>
      </c>
      <c r="E312" s="14">
        <f>E222+E199+E63+E40</f>
        <v>1890</v>
      </c>
      <c r="F312" s="14">
        <f>F222+F199+F63+F40</f>
        <v>1890</v>
      </c>
    </row>
    <row r="313" spans="2:6" ht="24.75" thickBot="1" x14ac:dyDescent="0.3">
      <c r="B313" s="28" t="s">
        <v>86</v>
      </c>
      <c r="C313" s="15"/>
      <c r="D313" s="29">
        <f>D312/C312-1</f>
        <v>0</v>
      </c>
      <c r="E313" s="29">
        <f>E312/D312-1</f>
        <v>0</v>
      </c>
      <c r="F313" s="29">
        <f>F312/E312-1</f>
        <v>0</v>
      </c>
    </row>
    <row r="314" spans="2:6" ht="15.75" thickBot="1" x14ac:dyDescent="0.3">
      <c r="B314" s="13" t="s">
        <v>30</v>
      </c>
      <c r="C314" s="14">
        <f>C223+C200+C64+C41</f>
        <v>3500</v>
      </c>
      <c r="D314" s="14">
        <f>D223+D200+D64+D41</f>
        <v>3850</v>
      </c>
      <c r="E314" s="14">
        <f>E223+E200+E64+E41</f>
        <v>4550</v>
      </c>
      <c r="F314" s="14">
        <f>F223+F200+F64+F41</f>
        <v>5250</v>
      </c>
    </row>
    <row r="315" spans="2:6" ht="24.75" thickBot="1" x14ac:dyDescent="0.3">
      <c r="B315" s="28" t="s">
        <v>87</v>
      </c>
      <c r="C315" s="15"/>
      <c r="D315" s="29">
        <f>D314/C314-1</f>
        <v>0.10000000000000009</v>
      </c>
      <c r="E315" s="29">
        <f>E314/D314-1</f>
        <v>0.18181818181818188</v>
      </c>
      <c r="F315" s="29">
        <f>F314/E314-1</f>
        <v>0.15384615384615374</v>
      </c>
    </row>
    <row r="316" spans="2:6" ht="15.75" thickBot="1" x14ac:dyDescent="0.3">
      <c r="B316" s="13" t="s">
        <v>32</v>
      </c>
      <c r="C316" s="14">
        <f>C224+C201+C65+C42</f>
        <v>0</v>
      </c>
      <c r="D316" s="14">
        <f>D224+D201+D65+D42</f>
        <v>0</v>
      </c>
      <c r="E316" s="14">
        <f>E224+E201+E65+E42</f>
        <v>0</v>
      </c>
      <c r="F316" s="14">
        <f>F224+F201+F65+F42</f>
        <v>0</v>
      </c>
    </row>
    <row r="317" spans="2:6" ht="24.75" thickBot="1" x14ac:dyDescent="0.3">
      <c r="B317" s="28" t="s">
        <v>88</v>
      </c>
      <c r="C317" s="15"/>
      <c r="D317" s="29" t="e">
        <f>D316/C316-1</f>
        <v>#DIV/0!</v>
      </c>
      <c r="E317" s="29" t="e">
        <f>E316/D316-1</f>
        <v>#DIV/0!</v>
      </c>
      <c r="F317" s="29" t="e">
        <f>F316/E316-1</f>
        <v>#DIV/0!</v>
      </c>
    </row>
    <row r="318" spans="2:6" ht="29.45" customHeight="1" thickBot="1" x14ac:dyDescent="0.3">
      <c r="B318" s="13" t="s">
        <v>34</v>
      </c>
      <c r="C318" s="14">
        <f>C225+C202+C66+C43</f>
        <v>70700</v>
      </c>
      <c r="D318" s="14">
        <f>D225+D202+D66+D43</f>
        <v>70700</v>
      </c>
      <c r="E318" s="14">
        <f>E225+E202+E66+E43</f>
        <v>70700</v>
      </c>
      <c r="F318" s="14">
        <f>F225+F202+F66+F43</f>
        <v>70700</v>
      </c>
    </row>
    <row r="319" spans="2:6" ht="24.75" thickBot="1" x14ac:dyDescent="0.3">
      <c r="B319" s="28" t="s">
        <v>89</v>
      </c>
      <c r="C319" s="15"/>
      <c r="D319" s="29">
        <f>D318/C318-1</f>
        <v>0</v>
      </c>
      <c r="E319" s="29">
        <f>E318/D318-1</f>
        <v>0</v>
      </c>
      <c r="F319" s="29">
        <f>F318/E318-1</f>
        <v>0</v>
      </c>
    </row>
    <row r="320" spans="2:6" ht="15.75" thickBot="1" x14ac:dyDescent="0.3">
      <c r="B320" s="13" t="s">
        <v>36</v>
      </c>
      <c r="C320" s="14">
        <f>C226+C203+C67+C44</f>
        <v>0</v>
      </c>
      <c r="D320" s="14">
        <f>D226+D203+D67+D44</f>
        <v>0</v>
      </c>
      <c r="E320" s="14">
        <f>E226+E203+E67+E44</f>
        <v>0</v>
      </c>
      <c r="F320" s="14">
        <f>F226+F203+F67+F44</f>
        <v>0</v>
      </c>
    </row>
    <row r="321" spans="2:6" ht="24.75" thickBot="1" x14ac:dyDescent="0.3">
      <c r="B321" s="28" t="s">
        <v>90</v>
      </c>
      <c r="C321" s="15"/>
      <c r="D321" s="29" t="e">
        <f>D320/C320-1</f>
        <v>#DIV/0!</v>
      </c>
      <c r="E321" s="29" t="e">
        <f>E320/D320-1</f>
        <v>#DIV/0!</v>
      </c>
      <c r="F321" s="29" t="e">
        <f>F320/E320-1</f>
        <v>#DIV/0!</v>
      </c>
    </row>
    <row r="322" spans="2:6" ht="24.75" thickBot="1" x14ac:dyDescent="0.3">
      <c r="B322" s="13" t="s">
        <v>38</v>
      </c>
      <c r="C322" s="14">
        <f>C227+C204+C68+C45</f>
        <v>0</v>
      </c>
      <c r="D322" s="14">
        <f>D227+D204+D68+D45</f>
        <v>0</v>
      </c>
      <c r="E322" s="14">
        <f>E227+E204+E68+E45</f>
        <v>0</v>
      </c>
      <c r="F322" s="14">
        <f>F227+F204+F68+F45</f>
        <v>0</v>
      </c>
    </row>
    <row r="323" spans="2:6" ht="24.75" thickBot="1" x14ac:dyDescent="0.3">
      <c r="B323" s="28" t="s">
        <v>91</v>
      </c>
      <c r="C323" s="15"/>
      <c r="D323" s="29" t="e">
        <f>D322/C322-1</f>
        <v>#DIV/0!</v>
      </c>
      <c r="E323" s="29" t="e">
        <f>E322/D322-1</f>
        <v>#DIV/0!</v>
      </c>
      <c r="F323" s="29" t="e">
        <f>F322/E322-1</f>
        <v>#DIV/0!</v>
      </c>
    </row>
    <row r="324" spans="2:6" ht="15.75" thickBot="1" x14ac:dyDescent="0.3">
      <c r="B324" s="13" t="s">
        <v>92</v>
      </c>
      <c r="C324" s="14">
        <f>C111+C132+C152+C170+C247+C265+C285+C303</f>
        <v>0</v>
      </c>
      <c r="D324" s="14">
        <f>D111+D132+D152+D170+D247+D265+D285+D303</f>
        <v>0</v>
      </c>
      <c r="E324" s="14">
        <f>E111+E132+E152+E170+E247+E265+E285+E303</f>
        <v>0</v>
      </c>
      <c r="F324" s="14">
        <f>F111+F132+F152+F170+F247+F265+F285+F303</f>
        <v>0</v>
      </c>
    </row>
    <row r="325" spans="2:6" ht="24.75" thickBot="1" x14ac:dyDescent="0.3">
      <c r="B325" s="28" t="s">
        <v>93</v>
      </c>
      <c r="C325" s="15"/>
      <c r="D325" s="29" t="e">
        <f>D324/C324-1</f>
        <v>#DIV/0!</v>
      </c>
      <c r="E325" s="29" t="e">
        <f>E324/D324-1</f>
        <v>#DIV/0!</v>
      </c>
      <c r="F325" s="29" t="e">
        <f>F324/E324-1</f>
        <v>#DIV/0!</v>
      </c>
    </row>
    <row r="326" spans="2:6" ht="15.75" thickBot="1" x14ac:dyDescent="0.3">
      <c r="B326" s="13" t="s">
        <v>94</v>
      </c>
      <c r="C326" s="14">
        <f>C112+C133+C153+C171+C248+C266+C286+C304</f>
        <v>2000</v>
      </c>
      <c r="D326" s="14">
        <f>D112+D133+D153+D171+D248+D266+D286+D304</f>
        <v>1000</v>
      </c>
      <c r="E326" s="14">
        <f>E112+E133+E153+E171+E248+E266+E286+E304</f>
        <v>1000</v>
      </c>
      <c r="F326" s="14">
        <f>F112+F133+F153+F171+F248+F266+F286+F304</f>
        <v>1000</v>
      </c>
    </row>
    <row r="327" spans="2:6" ht="24.75" thickBot="1" x14ac:dyDescent="0.3">
      <c r="B327" s="28" t="s">
        <v>95</v>
      </c>
      <c r="C327" s="15"/>
      <c r="D327" s="29">
        <f>D326/C326-1</f>
        <v>-0.5</v>
      </c>
      <c r="E327" s="29">
        <f>E326/D326-1</f>
        <v>0</v>
      </c>
      <c r="F327" s="29">
        <f>F326/E326-1</f>
        <v>0</v>
      </c>
    </row>
    <row r="328" spans="2:6" ht="15.75" thickBot="1" x14ac:dyDescent="0.3">
      <c r="B328" s="17" t="s">
        <v>41</v>
      </c>
      <c r="C328" s="18">
        <f>IF(C308-C307=0,0,"Error")</f>
        <v>0</v>
      </c>
      <c r="D328" s="18">
        <f>IF(D308-D307=0,0,"Error")</f>
        <v>0</v>
      </c>
      <c r="E328" s="18">
        <f>IF(E308-E307=0,0,"Error")</f>
        <v>0</v>
      </c>
      <c r="F328" s="18">
        <f>IF(F308-F307=0,0,"Error")</f>
        <v>0</v>
      </c>
    </row>
    <row r="329" spans="2:6" ht="36.75" thickBot="1" x14ac:dyDescent="0.3">
      <c r="B329" s="30" t="s">
        <v>96</v>
      </c>
      <c r="C329" s="14">
        <v>16</v>
      </c>
      <c r="D329" s="14">
        <v>16</v>
      </c>
      <c r="E329" s="14">
        <v>16</v>
      </c>
      <c r="F329" s="14">
        <v>16</v>
      </c>
    </row>
    <row r="330" spans="2:6" ht="36.75" thickBot="1" x14ac:dyDescent="0.3">
      <c r="B330" s="30" t="s">
        <v>97</v>
      </c>
      <c r="C330" s="14">
        <v>2</v>
      </c>
      <c r="D330" s="14">
        <v>2</v>
      </c>
      <c r="E330" s="14">
        <v>2</v>
      </c>
      <c r="F330" s="14">
        <v>2</v>
      </c>
    </row>
    <row r="331" spans="2:6" x14ac:dyDescent="0.25">
      <c r="B331" s="31"/>
      <c r="C331" s="32"/>
      <c r="D331" s="32"/>
      <c r="E331" s="32"/>
      <c r="F331" s="32"/>
    </row>
  </sheetData>
  <mergeCells count="114">
    <mergeCell ref="B263:B264"/>
    <mergeCell ref="C273:F273"/>
    <mergeCell ref="B274:B275"/>
    <mergeCell ref="B282:F282"/>
    <mergeCell ref="B268:F268"/>
    <mergeCell ref="B269:F269"/>
    <mergeCell ref="C270:F270"/>
    <mergeCell ref="C271:F271"/>
    <mergeCell ref="C251:F251"/>
    <mergeCell ref="C209:F209"/>
    <mergeCell ref="B210:B211"/>
    <mergeCell ref="B218:F218"/>
    <mergeCell ref="B219:B220"/>
    <mergeCell ref="C252:F252"/>
    <mergeCell ref="C253:F253"/>
    <mergeCell ref="B254:B255"/>
    <mergeCell ref="B262:F262"/>
    <mergeCell ref="B2:F2"/>
    <mergeCell ref="B244:F244"/>
    <mergeCell ref="B245:B246"/>
    <mergeCell ref="C250:F250"/>
    <mergeCell ref="B230:F230"/>
    <mergeCell ref="B231:F231"/>
    <mergeCell ref="C232:F232"/>
    <mergeCell ref="C233:F233"/>
    <mergeCell ref="C234:F234"/>
    <mergeCell ref="C235:F235"/>
    <mergeCell ref="C182:F182"/>
    <mergeCell ref="C183:F183"/>
    <mergeCell ref="C184:F184"/>
    <mergeCell ref="B185:B186"/>
    <mergeCell ref="B193:B194"/>
    <mergeCell ref="B236:B237"/>
    <mergeCell ref="B301:B302"/>
    <mergeCell ref="C272:F272"/>
    <mergeCell ref="C288:F288"/>
    <mergeCell ref="C289:F289"/>
    <mergeCell ref="C290:F290"/>
    <mergeCell ref="C291:F291"/>
    <mergeCell ref="B292:B293"/>
    <mergeCell ref="B300:F300"/>
    <mergeCell ref="B283:B284"/>
    <mergeCell ref="B195:F195"/>
    <mergeCell ref="B196:B197"/>
    <mergeCell ref="C207:F207"/>
    <mergeCell ref="C208:F208"/>
    <mergeCell ref="B180:B181"/>
    <mergeCell ref="C173:F173"/>
    <mergeCell ref="B174:F174"/>
    <mergeCell ref="B178:F178"/>
    <mergeCell ref="B179:F179"/>
    <mergeCell ref="C156:F156"/>
    <mergeCell ref="C157:F157"/>
    <mergeCell ref="C158:F158"/>
    <mergeCell ref="B159:B160"/>
    <mergeCell ref="B167:F167"/>
    <mergeCell ref="B168:B169"/>
    <mergeCell ref="C118:F118"/>
    <mergeCell ref="B141:B142"/>
    <mergeCell ref="B149:F149"/>
    <mergeCell ref="B150:B151"/>
    <mergeCell ref="C155:F155"/>
    <mergeCell ref="B135:F135"/>
    <mergeCell ref="B136:F136"/>
    <mergeCell ref="C137:F137"/>
    <mergeCell ref="C138:F138"/>
    <mergeCell ref="C139:F139"/>
    <mergeCell ref="C119:F119"/>
    <mergeCell ref="C120:F120"/>
    <mergeCell ref="B121:B122"/>
    <mergeCell ref="B129:F129"/>
    <mergeCell ref="B130:B131"/>
    <mergeCell ref="C140:F140"/>
    <mergeCell ref="B108:F108"/>
    <mergeCell ref="B109:B110"/>
    <mergeCell ref="B114:B116"/>
    <mergeCell ref="C114:F116"/>
    <mergeCell ref="C117:F117"/>
    <mergeCell ref="B52:B53"/>
    <mergeCell ref="B59:F59"/>
    <mergeCell ref="B60:B61"/>
    <mergeCell ref="B94:F94"/>
    <mergeCell ref="C71:F71"/>
    <mergeCell ref="C72:F72"/>
    <mergeCell ref="C73:F73"/>
    <mergeCell ref="B75:B76"/>
    <mergeCell ref="B82:F82"/>
    <mergeCell ref="B83:B84"/>
    <mergeCell ref="B95:F95"/>
    <mergeCell ref="C96:F96"/>
    <mergeCell ref="C97:F97"/>
    <mergeCell ref="C98:F98"/>
    <mergeCell ref="C99:F99"/>
    <mergeCell ref="B100:B101"/>
    <mergeCell ref="C49:F49"/>
    <mergeCell ref="C50:F50"/>
    <mergeCell ref="B24:F24"/>
    <mergeCell ref="C25:F25"/>
    <mergeCell ref="C26:F26"/>
    <mergeCell ref="C27:F27"/>
    <mergeCell ref="B28:B29"/>
    <mergeCell ref="B36:F36"/>
    <mergeCell ref="C4:F4"/>
    <mergeCell ref="C5:F5"/>
    <mergeCell ref="C6:F6"/>
    <mergeCell ref="B7:F7"/>
    <mergeCell ref="B37:B38"/>
    <mergeCell ref="C48:F48"/>
    <mergeCell ref="B8:F10"/>
    <mergeCell ref="C11:F11"/>
    <mergeCell ref="B12:B13"/>
    <mergeCell ref="C18:F18"/>
    <mergeCell ref="B19:F19"/>
    <mergeCell ref="B23:F23"/>
  </mergeCells>
  <printOptions horizontalCentered="1" verticalCentered="1"/>
  <pageMargins left="0.7" right="0.7" top="0.75" bottom="0.75" header="0.3" footer="0.3"/>
  <pageSetup scale="75" orientation="landscape" r:id="rId1"/>
  <rowBreaks count="4" manualBreakCount="4">
    <brk id="93" max="16383" man="1"/>
    <brk id="148" max="16383" man="1"/>
    <brk id="217" max="16383" man="1"/>
    <brk id="287" max="16383" man="1"/>
  </rowBreaks>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K268"/>
  <sheetViews>
    <sheetView topLeftCell="A241" zoomScaleNormal="100" workbookViewId="0">
      <selection activeCell="C257" sqref="C257"/>
    </sheetView>
  </sheetViews>
  <sheetFormatPr defaultRowHeight="15" x14ac:dyDescent="0.25"/>
  <cols>
    <col min="1" max="1" width="10.85546875" style="152" customWidth="1"/>
    <col min="2" max="2" width="47.7109375" style="152" customWidth="1"/>
    <col min="3" max="3" width="19.85546875" style="152" customWidth="1"/>
    <col min="4" max="5" width="11.7109375" style="152" customWidth="1"/>
    <col min="6" max="6" width="23.7109375" style="152" customWidth="1"/>
    <col min="7" max="7" width="15.42578125" style="152" customWidth="1"/>
    <col min="8" max="8" width="14.42578125" style="152" customWidth="1"/>
    <col min="9" max="16384" width="9.140625" style="152"/>
  </cols>
  <sheetData>
    <row r="1" spans="2:7" ht="18" customHeight="1" x14ac:dyDescent="0.25">
      <c r="B1" s="1" t="s">
        <v>126</v>
      </c>
      <c r="C1" s="1"/>
      <c r="D1" s="1"/>
      <c r="E1" s="1"/>
      <c r="F1" s="1"/>
      <c r="G1" s="91"/>
    </row>
    <row r="2" spans="2:7" ht="9" customHeight="1" thickBot="1" x14ac:dyDescent="0.3"/>
    <row r="3" spans="2:7" ht="15.75" thickBot="1" x14ac:dyDescent="0.3">
      <c r="B3" s="153" t="s">
        <v>2</v>
      </c>
      <c r="C3" s="979" t="str">
        <f>'[11]Formati 1 Misioni'!A7</f>
        <v>Planifikim-Menaxhim-Administrim</v>
      </c>
      <c r="D3" s="979"/>
      <c r="E3" s="979"/>
      <c r="F3" s="979"/>
    </row>
    <row r="4" spans="2:7" ht="15.75" thickBot="1" x14ac:dyDescent="0.3">
      <c r="B4" s="153" t="s">
        <v>3</v>
      </c>
      <c r="C4" s="980" t="s">
        <v>4</v>
      </c>
      <c r="D4" s="981"/>
      <c r="E4" s="981"/>
      <c r="F4" s="982"/>
    </row>
    <row r="5" spans="2:7" ht="15.75" thickBot="1" x14ac:dyDescent="0.3">
      <c r="B5" s="153" t="s">
        <v>5</v>
      </c>
      <c r="C5" s="983" t="s">
        <v>6</v>
      </c>
      <c r="D5" s="984"/>
      <c r="E5" s="984"/>
      <c r="F5" s="985"/>
    </row>
    <row r="6" spans="2:7" ht="15.75" thickBot="1" x14ac:dyDescent="0.3">
      <c r="B6" s="986" t="s">
        <v>7</v>
      </c>
      <c r="C6" s="987"/>
      <c r="D6" s="987"/>
      <c r="E6" s="987"/>
      <c r="F6" s="988"/>
    </row>
    <row r="7" spans="2:7" ht="13.5" customHeight="1" x14ac:dyDescent="0.25">
      <c r="B7" s="1687" t="s">
        <v>546</v>
      </c>
      <c r="C7" s="1688"/>
      <c r="D7" s="1688"/>
      <c r="E7" s="1688"/>
      <c r="F7" s="1689"/>
    </row>
    <row r="8" spans="2:7" ht="36.75" customHeight="1" x14ac:dyDescent="0.25">
      <c r="B8" s="1690"/>
      <c r="C8" s="1691"/>
      <c r="D8" s="1691"/>
      <c r="E8" s="1691"/>
      <c r="F8" s="1692"/>
    </row>
    <row r="9" spans="2:7" ht="84" customHeight="1" thickBot="1" x14ac:dyDescent="0.3">
      <c r="B9" s="1693"/>
      <c r="C9" s="1694"/>
      <c r="D9" s="1694"/>
      <c r="E9" s="1694"/>
      <c r="F9" s="1695"/>
    </row>
    <row r="10" spans="2:7" ht="156.75" customHeight="1" thickBot="1" x14ac:dyDescent="0.3">
      <c r="B10" s="154" t="s">
        <v>8</v>
      </c>
      <c r="C10" s="1696" t="s">
        <v>547</v>
      </c>
      <c r="D10" s="1697"/>
      <c r="E10" s="1697"/>
      <c r="F10" s="1698"/>
    </row>
    <row r="11" spans="2:7" ht="23.25" customHeight="1" x14ac:dyDescent="0.25">
      <c r="B11" s="998" t="s">
        <v>9</v>
      </c>
      <c r="C11" s="155">
        <v>2018</v>
      </c>
      <c r="D11" s="155">
        <v>2019</v>
      </c>
      <c r="E11" s="155">
        <v>2020</v>
      </c>
      <c r="F11" s="155">
        <v>2021</v>
      </c>
    </row>
    <row r="12" spans="2:7" ht="15.75" thickBot="1" x14ac:dyDescent="0.3">
      <c r="B12" s="999"/>
      <c r="C12" s="156" t="s">
        <v>10</v>
      </c>
      <c r="D12" s="156" t="s">
        <v>11</v>
      </c>
      <c r="E12" s="156" t="s">
        <v>11</v>
      </c>
      <c r="F12" s="156" t="s">
        <v>11</v>
      </c>
    </row>
    <row r="13" spans="2:7" ht="44.25" customHeight="1" thickBot="1" x14ac:dyDescent="0.3">
      <c r="B13" s="322" t="s">
        <v>548</v>
      </c>
      <c r="C13" s="323">
        <v>0.85</v>
      </c>
      <c r="D13" s="157" t="s">
        <v>549</v>
      </c>
      <c r="E13" s="157" t="s">
        <v>549</v>
      </c>
      <c r="F13" s="157" t="s">
        <v>549</v>
      </c>
    </row>
    <row r="14" spans="2:7" ht="50.25" customHeight="1" thickBot="1" x14ac:dyDescent="0.3">
      <c r="B14" s="322" t="s">
        <v>550</v>
      </c>
      <c r="C14" s="323" t="s">
        <v>551</v>
      </c>
      <c r="D14" s="157" t="s">
        <v>549</v>
      </c>
      <c r="E14" s="157" t="s">
        <v>549</v>
      </c>
      <c r="F14" s="157" t="s">
        <v>549</v>
      </c>
    </row>
    <row r="15" spans="2:7" ht="42.75" customHeight="1" thickBot="1" x14ac:dyDescent="0.3">
      <c r="B15" s="324" t="s">
        <v>552</v>
      </c>
      <c r="C15" s="323">
        <v>0.35</v>
      </c>
      <c r="D15" s="323" t="s">
        <v>114</v>
      </c>
      <c r="E15" s="323" t="s">
        <v>114</v>
      </c>
      <c r="F15" s="323" t="s">
        <v>114</v>
      </c>
    </row>
    <row r="16" spans="2:7" ht="69" customHeight="1" thickBot="1" x14ac:dyDescent="0.3">
      <c r="B16" s="158" t="s">
        <v>12</v>
      </c>
      <c r="C16" s="1007" t="s">
        <v>553</v>
      </c>
      <c r="D16" s="1006"/>
      <c r="E16" s="1006"/>
      <c r="F16" s="1008"/>
    </row>
    <row r="17" spans="2:8" ht="50.25" customHeight="1" thickBot="1" x14ac:dyDescent="0.3">
      <c r="B17" s="158" t="s">
        <v>67</v>
      </c>
      <c r="C17" s="1007" t="s">
        <v>554</v>
      </c>
      <c r="D17" s="1006"/>
      <c r="E17" s="1006"/>
      <c r="F17" s="1008"/>
    </row>
    <row r="18" spans="2:8" ht="23.25" customHeight="1" thickBot="1" x14ac:dyDescent="0.3">
      <c r="B18" s="1086" t="s">
        <v>13</v>
      </c>
      <c r="C18" s="1087"/>
      <c r="D18" s="1087"/>
      <c r="E18" s="1087"/>
      <c r="F18" s="1088"/>
      <c r="H18" s="159"/>
    </row>
    <row r="19" spans="2:8" ht="23.25" customHeight="1" thickBot="1" x14ac:dyDescent="0.3">
      <c r="B19" s="325"/>
      <c r="C19" s="326"/>
      <c r="D19" s="326"/>
      <c r="E19" s="326"/>
      <c r="F19" s="327"/>
      <c r="H19" s="159"/>
    </row>
    <row r="20" spans="2:8" ht="29.25" customHeight="1" thickBot="1" x14ac:dyDescent="0.3">
      <c r="B20" s="322" t="s">
        <v>548</v>
      </c>
      <c r="C20" s="323">
        <v>0.85</v>
      </c>
      <c r="D20" s="157" t="s">
        <v>549</v>
      </c>
      <c r="E20" s="157" t="s">
        <v>549</v>
      </c>
      <c r="F20" s="157" t="s">
        <v>549</v>
      </c>
    </row>
    <row r="21" spans="2:8" ht="43.5" customHeight="1" thickBot="1" x14ac:dyDescent="0.3">
      <c r="B21" s="322" t="s">
        <v>550</v>
      </c>
      <c r="C21" s="323" t="s">
        <v>551</v>
      </c>
      <c r="D21" s="157" t="s">
        <v>549</v>
      </c>
      <c r="E21" s="157" t="s">
        <v>549</v>
      </c>
      <c r="F21" s="157" t="s">
        <v>549</v>
      </c>
    </row>
    <row r="22" spans="2:8" ht="15.75" thickBot="1" x14ac:dyDescent="0.3">
      <c r="B22" s="1086" t="s">
        <v>68</v>
      </c>
      <c r="C22" s="1087"/>
      <c r="D22" s="1087"/>
      <c r="E22" s="1087"/>
      <c r="F22" s="1088"/>
    </row>
    <row r="23" spans="2:8" ht="15.75" thickBot="1" x14ac:dyDescent="0.3">
      <c r="B23" s="325"/>
      <c r="C23" s="326"/>
      <c r="D23" s="326"/>
      <c r="E23" s="326"/>
      <c r="F23" s="327"/>
    </row>
    <row r="24" spans="2:8" ht="30.75" thickBot="1" x14ac:dyDescent="0.3">
      <c r="B24" s="322" t="s">
        <v>555</v>
      </c>
      <c r="C24" s="323">
        <v>0.95</v>
      </c>
      <c r="D24" s="323" t="s">
        <v>114</v>
      </c>
      <c r="E24" s="323" t="s">
        <v>114</v>
      </c>
      <c r="F24" s="323" t="s">
        <v>114</v>
      </c>
    </row>
    <row r="25" spans="2:8" ht="29.25" customHeight="1" thickBot="1" x14ac:dyDescent="0.3">
      <c r="B25" s="324" t="s">
        <v>552</v>
      </c>
      <c r="C25" s="323">
        <v>0.35</v>
      </c>
      <c r="D25" s="323" t="s">
        <v>114</v>
      </c>
      <c r="E25" s="323" t="s">
        <v>114</v>
      </c>
      <c r="F25" s="323" t="s">
        <v>114</v>
      </c>
    </row>
    <row r="26" spans="2:8" ht="15.75" thickBot="1" x14ac:dyDescent="0.3">
      <c r="B26" s="328"/>
      <c r="C26" s="329"/>
      <c r="D26" s="330"/>
      <c r="E26" s="330"/>
      <c r="F26" s="157"/>
    </row>
    <row r="27" spans="2:8" ht="15.75" thickBot="1" x14ac:dyDescent="0.3">
      <c r="B27" s="989" t="s">
        <v>14</v>
      </c>
      <c r="C27" s="990"/>
      <c r="D27" s="990"/>
      <c r="E27" s="990"/>
      <c r="F27" s="991"/>
    </row>
    <row r="28" spans="2:8" ht="15.75" thickBot="1" x14ac:dyDescent="0.3">
      <c r="B28" s="989" t="s">
        <v>15</v>
      </c>
      <c r="C28" s="990"/>
      <c r="D28" s="990"/>
      <c r="E28" s="990"/>
      <c r="F28" s="991"/>
    </row>
    <row r="29" spans="2:8" ht="15.75" thickBot="1" x14ac:dyDescent="0.3">
      <c r="B29" s="160" t="s">
        <v>16</v>
      </c>
      <c r="C29" s="992" t="s">
        <v>556</v>
      </c>
      <c r="D29" s="993"/>
      <c r="E29" s="993"/>
      <c r="F29" s="994"/>
    </row>
    <row r="30" spans="2:8" ht="44.25" customHeight="1" thickBot="1" x14ac:dyDescent="0.3">
      <c r="B30" s="62" t="s">
        <v>17</v>
      </c>
      <c r="C30" s="983" t="s">
        <v>557</v>
      </c>
      <c r="D30" s="984"/>
      <c r="E30" s="984"/>
      <c r="F30" s="985"/>
    </row>
    <row r="31" spans="2:8" ht="15.75" thickBot="1" x14ac:dyDescent="0.3">
      <c r="B31" s="62" t="s">
        <v>18</v>
      </c>
      <c r="C31" s="995" t="s">
        <v>111</v>
      </c>
      <c r="D31" s="996"/>
      <c r="E31" s="996"/>
      <c r="F31" s="997"/>
    </row>
    <row r="32" spans="2:8" ht="12.75" customHeight="1" x14ac:dyDescent="0.25">
      <c r="B32" s="998"/>
      <c r="C32" s="63">
        <v>2018</v>
      </c>
      <c r="D32" s="63">
        <v>2019</v>
      </c>
      <c r="E32" s="63">
        <v>2020</v>
      </c>
      <c r="F32" s="63">
        <v>2021</v>
      </c>
    </row>
    <row r="33" spans="2:6" ht="13.5" customHeight="1" thickBot="1" x14ac:dyDescent="0.3">
      <c r="B33" s="999"/>
      <c r="C33" s="64" t="s">
        <v>10</v>
      </c>
      <c r="D33" s="64" t="s">
        <v>11</v>
      </c>
      <c r="E33" s="64" t="s">
        <v>11</v>
      </c>
      <c r="F33" s="64" t="s">
        <v>11</v>
      </c>
    </row>
    <row r="34" spans="2:6" ht="15.75" thickBot="1" x14ac:dyDescent="0.3">
      <c r="B34" s="62" t="s">
        <v>19</v>
      </c>
      <c r="C34" s="161">
        <v>184</v>
      </c>
      <c r="D34" s="161">
        <v>210</v>
      </c>
      <c r="E34" s="161">
        <v>230</v>
      </c>
      <c r="F34" s="161">
        <v>255</v>
      </c>
    </row>
    <row r="35" spans="2:6" ht="15.75" thickBot="1" x14ac:dyDescent="0.3">
      <c r="B35" s="62" t="s">
        <v>20</v>
      </c>
      <c r="C35" s="161">
        <f>39060*50%</f>
        <v>19530</v>
      </c>
      <c r="D35" s="161">
        <f>D58</f>
        <v>19560</v>
      </c>
      <c r="E35" s="161">
        <v>19650</v>
      </c>
      <c r="F35" s="161">
        <v>19800</v>
      </c>
    </row>
    <row r="36" spans="2:6" ht="15.75" thickBot="1" x14ac:dyDescent="0.3">
      <c r="B36" s="62" t="s">
        <v>21</v>
      </c>
      <c r="C36" s="161">
        <f>C35/C34</f>
        <v>106.14130434782609</v>
      </c>
      <c r="D36" s="161">
        <f t="shared" ref="D36:F36" si="0">D35/D34</f>
        <v>93.142857142857139</v>
      </c>
      <c r="E36" s="161">
        <f t="shared" si="0"/>
        <v>85.434782608695656</v>
      </c>
      <c r="F36" s="161">
        <f t="shared" si="0"/>
        <v>77.647058823529406</v>
      </c>
    </row>
    <row r="37" spans="2:6" ht="15.75" thickBot="1" x14ac:dyDescent="0.3">
      <c r="B37" s="62" t="s">
        <v>22</v>
      </c>
      <c r="C37" s="145" t="s">
        <v>23</v>
      </c>
      <c r="D37" s="162">
        <f>D34/C34-1</f>
        <v>0.14130434782608692</v>
      </c>
      <c r="E37" s="162">
        <f t="shared" ref="E37:F39" si="1">E34/D34-1</f>
        <v>9.5238095238095344E-2</v>
      </c>
      <c r="F37" s="162">
        <f t="shared" si="1"/>
        <v>0.10869565217391308</v>
      </c>
    </row>
    <row r="38" spans="2:6" ht="15.75" thickBot="1" x14ac:dyDescent="0.3">
      <c r="B38" s="62" t="s">
        <v>24</v>
      </c>
      <c r="C38" s="145" t="s">
        <v>23</v>
      </c>
      <c r="D38" s="162">
        <f>D35/C35-1</f>
        <v>1.536098310291889E-3</v>
      </c>
      <c r="E38" s="162">
        <f t="shared" si="1"/>
        <v>4.6012269938651151E-3</v>
      </c>
      <c r="F38" s="162">
        <f t="shared" si="1"/>
        <v>7.6335877862594437E-3</v>
      </c>
    </row>
    <row r="39" spans="2:6" ht="15.75" thickBot="1" x14ac:dyDescent="0.3">
      <c r="B39" s="62" t="s">
        <v>25</v>
      </c>
      <c r="C39" s="145" t="s">
        <v>23</v>
      </c>
      <c r="D39" s="162">
        <f>D36/C36-1</f>
        <v>-0.12246360909955389</v>
      </c>
      <c r="E39" s="162">
        <f t="shared" si="1"/>
        <v>-8.2755401440384069E-2</v>
      </c>
      <c r="F39" s="162">
        <f t="shared" si="1"/>
        <v>-9.115401885945229E-2</v>
      </c>
    </row>
    <row r="40" spans="2:6" ht="15.75" thickBot="1" x14ac:dyDescent="0.3">
      <c r="B40" s="1000" t="s">
        <v>784</v>
      </c>
      <c r="C40" s="1001"/>
      <c r="D40" s="1001"/>
      <c r="E40" s="1001"/>
      <c r="F40" s="1002"/>
    </row>
    <row r="41" spans="2:6" ht="12.75" customHeight="1" x14ac:dyDescent="0.25">
      <c r="B41" s="998"/>
      <c r="C41" s="63">
        <v>2018</v>
      </c>
      <c r="D41" s="63">
        <v>2019</v>
      </c>
      <c r="E41" s="63">
        <v>2020</v>
      </c>
      <c r="F41" s="63">
        <v>2021</v>
      </c>
    </row>
    <row r="42" spans="2:6" ht="17.25" customHeight="1" thickBot="1" x14ac:dyDescent="0.3">
      <c r="B42" s="999"/>
      <c r="C42" s="64" t="s">
        <v>10</v>
      </c>
      <c r="D42" s="64" t="s">
        <v>11</v>
      </c>
      <c r="E42" s="64" t="s">
        <v>11</v>
      </c>
      <c r="F42" s="64" t="s">
        <v>11</v>
      </c>
    </row>
    <row r="43" spans="2:6" ht="15.75" thickBot="1" x14ac:dyDescent="0.3">
      <c r="B43" s="65" t="s">
        <v>26</v>
      </c>
      <c r="C43" s="236">
        <v>12150</v>
      </c>
      <c r="D43" s="236">
        <v>12150</v>
      </c>
      <c r="E43" s="236">
        <v>12150</v>
      </c>
      <c r="F43" s="236">
        <v>12150</v>
      </c>
    </row>
    <row r="44" spans="2:6" ht="30.75" thickBot="1" x14ac:dyDescent="0.3">
      <c r="B44" s="181" t="s">
        <v>27</v>
      </c>
      <c r="C44" s="201"/>
      <c r="D44" s="341">
        <f>C43*1.03</f>
        <v>12514.5</v>
      </c>
      <c r="E44" s="341">
        <f>D43*1.03</f>
        <v>12514.5</v>
      </c>
      <c r="F44" s="341">
        <f>E43*1.03</f>
        <v>12514.5</v>
      </c>
    </row>
    <row r="45" spans="2:6" ht="30.75" thickBot="1" x14ac:dyDescent="0.3">
      <c r="B45" s="181" t="s">
        <v>817</v>
      </c>
      <c r="C45" s="201"/>
      <c r="D45" s="341">
        <f>C43*1.035</f>
        <v>12575.249999999998</v>
      </c>
      <c r="E45" s="341">
        <f t="shared" ref="E45:F45" si="2">D43*1.035</f>
        <v>12575.249999999998</v>
      </c>
      <c r="F45" s="341">
        <f t="shared" si="2"/>
        <v>12575.249999999998</v>
      </c>
    </row>
    <row r="46" spans="2:6" ht="15.75" thickBot="1" x14ac:dyDescent="0.3">
      <c r="B46" s="65" t="s">
        <v>28</v>
      </c>
      <c r="C46" s="236">
        <v>1980</v>
      </c>
      <c r="D46" s="236">
        <v>1980</v>
      </c>
      <c r="E46" s="236">
        <v>1980</v>
      </c>
      <c r="F46" s="236">
        <v>1980</v>
      </c>
    </row>
    <row r="47" spans="2:6" ht="30.75" thickBot="1" x14ac:dyDescent="0.3">
      <c r="B47" s="181" t="s">
        <v>29</v>
      </c>
      <c r="C47" s="201"/>
      <c r="D47" s="342">
        <f>C46*1.03</f>
        <v>2039.4</v>
      </c>
      <c r="E47" s="342">
        <f t="shared" ref="E47:F47" si="3">D46*1.03</f>
        <v>2039.4</v>
      </c>
      <c r="F47" s="342">
        <f t="shared" si="3"/>
        <v>2039.4</v>
      </c>
    </row>
    <row r="48" spans="2:6" ht="30.75" thickBot="1" x14ac:dyDescent="0.3">
      <c r="B48" s="181" t="s">
        <v>818</v>
      </c>
      <c r="C48" s="201"/>
      <c r="D48" s="342">
        <f>C46*1.035</f>
        <v>2049.2999999999997</v>
      </c>
      <c r="E48" s="342">
        <f t="shared" ref="E48:F48" si="4">D46*1.035</f>
        <v>2049.2999999999997</v>
      </c>
      <c r="F48" s="342">
        <f t="shared" si="4"/>
        <v>2049.2999999999997</v>
      </c>
    </row>
    <row r="49" spans="2:11" ht="15.75" thickBot="1" x14ac:dyDescent="0.3">
      <c r="B49" s="65" t="s">
        <v>30</v>
      </c>
      <c r="C49" s="343">
        <v>5298</v>
      </c>
      <c r="D49" s="342">
        <v>5328</v>
      </c>
      <c r="E49" s="342">
        <v>5418</v>
      </c>
      <c r="F49" s="342">
        <v>5568</v>
      </c>
    </row>
    <row r="50" spans="2:11" ht="30.75" thickBot="1" x14ac:dyDescent="0.3">
      <c r="B50" s="181" t="s">
        <v>31</v>
      </c>
      <c r="C50" s="343"/>
      <c r="D50" s="342">
        <f>C49*1.03</f>
        <v>5456.9400000000005</v>
      </c>
      <c r="E50" s="342">
        <f>D49*1.03</f>
        <v>5487.84</v>
      </c>
      <c r="F50" s="342">
        <f>E49*1.03</f>
        <v>5580.54</v>
      </c>
      <c r="K50" s="92"/>
    </row>
    <row r="51" spans="2:11" ht="30.75" thickBot="1" x14ac:dyDescent="0.3">
      <c r="B51" s="181" t="s">
        <v>819</v>
      </c>
      <c r="C51" s="343"/>
      <c r="D51" s="342">
        <f>D50*1.035</f>
        <v>5647.9328999999998</v>
      </c>
      <c r="E51" s="342">
        <f>E50*1.035</f>
        <v>5679.9143999999997</v>
      </c>
      <c r="F51" s="342">
        <f>F50*1.035</f>
        <v>5775.8588999999993</v>
      </c>
    </row>
    <row r="52" spans="2:11" ht="15.75" thickBot="1" x14ac:dyDescent="0.3">
      <c r="B52" s="65" t="s">
        <v>36</v>
      </c>
      <c r="C52" s="201">
        <v>30</v>
      </c>
      <c r="D52" s="201">
        <v>30</v>
      </c>
      <c r="E52" s="201">
        <v>30</v>
      </c>
      <c r="F52" s="201">
        <v>30</v>
      </c>
    </row>
    <row r="53" spans="2:11" ht="39.75" customHeight="1" thickBot="1" x14ac:dyDescent="0.3">
      <c r="B53" s="181" t="s">
        <v>37</v>
      </c>
      <c r="C53" s="201"/>
      <c r="D53" s="342">
        <f>C52*1.03</f>
        <v>30.900000000000002</v>
      </c>
      <c r="E53" s="342">
        <f t="shared" ref="E53:F53" si="5">D52*1.03</f>
        <v>30.900000000000002</v>
      </c>
      <c r="F53" s="342">
        <f t="shared" si="5"/>
        <v>30.900000000000002</v>
      </c>
    </row>
    <row r="54" spans="2:11" ht="32.25" customHeight="1" thickBot="1" x14ac:dyDescent="0.3">
      <c r="B54" s="181" t="s">
        <v>822</v>
      </c>
      <c r="C54" s="201"/>
      <c r="D54" s="342">
        <f>C52*1.035</f>
        <v>31.049999999999997</v>
      </c>
      <c r="E54" s="342">
        <f t="shared" ref="E54:F54" si="6">D52*1.035</f>
        <v>31.049999999999997</v>
      </c>
      <c r="F54" s="342">
        <f t="shared" si="6"/>
        <v>31.049999999999997</v>
      </c>
    </row>
    <row r="55" spans="2:11" ht="15.75" thickBot="1" x14ac:dyDescent="0.3">
      <c r="B55" s="65" t="s">
        <v>38</v>
      </c>
      <c r="C55" s="201">
        <v>72</v>
      </c>
      <c r="D55" s="201">
        <v>72</v>
      </c>
      <c r="E55" s="201">
        <v>72</v>
      </c>
      <c r="F55" s="201">
        <v>72</v>
      </c>
    </row>
    <row r="56" spans="2:11" ht="30.75" thickBot="1" x14ac:dyDescent="0.3">
      <c r="B56" s="181" t="s">
        <v>39</v>
      </c>
      <c r="C56" s="343"/>
      <c r="D56" s="342">
        <f>C55*1.03</f>
        <v>74.16</v>
      </c>
      <c r="E56" s="342">
        <f>D55*1.03</f>
        <v>74.16</v>
      </c>
      <c r="F56" s="342">
        <f>E55*1.03</f>
        <v>74.16</v>
      </c>
    </row>
    <row r="57" spans="2:11" ht="30.75" thickBot="1" x14ac:dyDescent="0.3">
      <c r="B57" s="181" t="s">
        <v>823</v>
      </c>
      <c r="C57" s="333"/>
      <c r="D57" s="332">
        <f>C55*1.035</f>
        <v>74.52</v>
      </c>
      <c r="E57" s="332">
        <f t="shared" ref="E57:F57" si="7">D55*1.035</f>
        <v>74.52</v>
      </c>
      <c r="F57" s="332">
        <f t="shared" si="7"/>
        <v>74.52</v>
      </c>
    </row>
    <row r="58" spans="2:11" ht="15.75" thickBot="1" x14ac:dyDescent="0.3">
      <c r="B58" s="66" t="s">
        <v>40</v>
      </c>
      <c r="C58" s="165">
        <f>C55+C52+C49+C46+C43</f>
        <v>19530</v>
      </c>
      <c r="D58" s="165">
        <f>D55+D52+D49+D46+D43</f>
        <v>19560</v>
      </c>
      <c r="E58" s="165">
        <f>E55+E52+E49+E46+E43</f>
        <v>19650</v>
      </c>
      <c r="F58" s="165">
        <f>F55+F52+F49+F46+F43</f>
        <v>19800</v>
      </c>
      <c r="H58" s="163"/>
    </row>
    <row r="59" spans="2:11" ht="15" customHeight="1" x14ac:dyDescent="0.25">
      <c r="B59" s="1015" t="s">
        <v>785</v>
      </c>
      <c r="C59" s="1077" t="s">
        <v>558</v>
      </c>
      <c r="D59" s="1078"/>
      <c r="E59" s="1078"/>
      <c r="F59" s="1079"/>
    </row>
    <row r="60" spans="2:11" x14ac:dyDescent="0.25">
      <c r="B60" s="1016"/>
      <c r="C60" s="1080"/>
      <c r="D60" s="1081"/>
      <c r="E60" s="1081"/>
      <c r="F60" s="1082"/>
    </row>
    <row r="61" spans="2:11" ht="15.75" thickBot="1" x14ac:dyDescent="0.3">
      <c r="B61" s="1017"/>
      <c r="C61" s="1083"/>
      <c r="D61" s="1084"/>
      <c r="E61" s="1084"/>
      <c r="F61" s="1085"/>
    </row>
    <row r="62" spans="2:11" ht="15.75" thickBot="1" x14ac:dyDescent="0.3">
      <c r="B62" s="166" t="s">
        <v>41</v>
      </c>
      <c r="C62" s="167">
        <f>IF(C58-C35=0,0,"Error")</f>
        <v>0</v>
      </c>
      <c r="D62" s="167">
        <f>IF(D58-D35=0,0,"Error")</f>
        <v>0</v>
      </c>
      <c r="E62" s="167">
        <f>IF(E58-E35=0,0,"Error")</f>
        <v>0</v>
      </c>
      <c r="F62" s="167">
        <f>IF(F58-F35=0,0,"Error")</f>
        <v>0</v>
      </c>
    </row>
    <row r="63" spans="2:11" ht="15.75" thickBot="1" x14ac:dyDescent="0.3">
      <c r="B63" s="195" t="s">
        <v>824</v>
      </c>
      <c r="C63" s="992" t="s">
        <v>559</v>
      </c>
      <c r="D63" s="993"/>
      <c r="E63" s="993"/>
      <c r="F63" s="994"/>
    </row>
    <row r="64" spans="2:11" ht="60.75" customHeight="1" thickBot="1" x14ac:dyDescent="0.3">
      <c r="B64" s="62" t="s">
        <v>17</v>
      </c>
      <c r="C64" s="983" t="s">
        <v>560</v>
      </c>
      <c r="D64" s="984"/>
      <c r="E64" s="984"/>
      <c r="F64" s="985"/>
    </row>
    <row r="65" spans="2:6" ht="15.75" thickBot="1" x14ac:dyDescent="0.3">
      <c r="B65" s="62" t="s">
        <v>18</v>
      </c>
      <c r="C65" s="995" t="s">
        <v>561</v>
      </c>
      <c r="D65" s="996"/>
      <c r="E65" s="996"/>
      <c r="F65" s="997"/>
    </row>
    <row r="66" spans="2:6" ht="13.5" customHeight="1" x14ac:dyDescent="0.25">
      <c r="B66" s="998"/>
      <c r="C66" s="63">
        <v>2018</v>
      </c>
      <c r="D66" s="63">
        <v>2019</v>
      </c>
      <c r="E66" s="63">
        <v>2020</v>
      </c>
      <c r="F66" s="63">
        <v>2021</v>
      </c>
    </row>
    <row r="67" spans="2:6" ht="12" customHeight="1" thickBot="1" x14ac:dyDescent="0.3">
      <c r="B67" s="999"/>
      <c r="C67" s="64" t="s">
        <v>10</v>
      </c>
      <c r="D67" s="64" t="s">
        <v>11</v>
      </c>
      <c r="E67" s="64" t="s">
        <v>11</v>
      </c>
      <c r="F67" s="64" t="s">
        <v>11</v>
      </c>
    </row>
    <row r="68" spans="2:6" ht="15.75" thickBot="1" x14ac:dyDescent="0.3">
      <c r="B68" s="62" t="s">
        <v>19</v>
      </c>
      <c r="C68" s="161">
        <v>205</v>
      </c>
      <c r="D68" s="161">
        <v>297</v>
      </c>
      <c r="E68" s="161">
        <v>320</v>
      </c>
      <c r="F68" s="161">
        <v>350</v>
      </c>
    </row>
    <row r="69" spans="2:6" ht="15.75" thickBot="1" x14ac:dyDescent="0.3">
      <c r="B69" s="62" t="s">
        <v>20</v>
      </c>
      <c r="C69" s="161">
        <v>19530</v>
      </c>
      <c r="D69" s="161">
        <f>D92</f>
        <v>19560</v>
      </c>
      <c r="E69" s="161">
        <v>19650</v>
      </c>
      <c r="F69" s="161">
        <v>19800</v>
      </c>
    </row>
    <row r="70" spans="2:6" ht="15.75" thickBot="1" x14ac:dyDescent="0.3">
      <c r="B70" s="62" t="s">
        <v>21</v>
      </c>
      <c r="C70" s="161">
        <f>C69/C68</f>
        <v>95.268292682926827</v>
      </c>
      <c r="D70" s="161">
        <f>D69/D68</f>
        <v>65.858585858585855</v>
      </c>
      <c r="E70" s="161">
        <f>E69/E68</f>
        <v>61.40625</v>
      </c>
      <c r="F70" s="161">
        <f>F69/F68</f>
        <v>56.571428571428569</v>
      </c>
    </row>
    <row r="71" spans="2:6" ht="15.75" thickBot="1" x14ac:dyDescent="0.3">
      <c r="B71" s="62" t="s">
        <v>22</v>
      </c>
      <c r="C71" s="145"/>
      <c r="D71" s="162">
        <f>D68/C68-1</f>
        <v>0.448780487804878</v>
      </c>
      <c r="E71" s="162">
        <f>E68/D68-1</f>
        <v>7.7441077441077422E-2</v>
      </c>
      <c r="F71" s="162">
        <f>F68/E68-1</f>
        <v>9.375E-2</v>
      </c>
    </row>
    <row r="72" spans="2:6" ht="15.75" thickBot="1" x14ac:dyDescent="0.3">
      <c r="B72" s="62" t="s">
        <v>24</v>
      </c>
      <c r="C72" s="145"/>
      <c r="D72" s="162">
        <f>D69/C69-1</f>
        <v>1.536098310291889E-3</v>
      </c>
      <c r="E72" s="162">
        <f t="shared" ref="E72:F73" si="8">E69/D69-1</f>
        <v>4.6012269938651151E-3</v>
      </c>
      <c r="F72" s="162">
        <f t="shared" si="8"/>
        <v>7.6335877862594437E-3</v>
      </c>
    </row>
    <row r="73" spans="2:6" ht="15.75" thickBot="1" x14ac:dyDescent="0.3">
      <c r="B73" s="62" t="s">
        <v>25</v>
      </c>
      <c r="C73" s="145"/>
      <c r="D73" s="162">
        <f>D70/C70-1</f>
        <v>-0.30870403988683559</v>
      </c>
      <c r="E73" s="162">
        <f t="shared" si="8"/>
        <v>-6.760448619631898E-2</v>
      </c>
      <c r="F73" s="162">
        <f t="shared" si="8"/>
        <v>-7.8735005452562734E-2</v>
      </c>
    </row>
    <row r="74" spans="2:6" ht="24.75" customHeight="1" thickBot="1" x14ac:dyDescent="0.3">
      <c r="B74" s="1000" t="s">
        <v>796</v>
      </c>
      <c r="C74" s="1001"/>
      <c r="D74" s="1001"/>
      <c r="E74" s="1001"/>
      <c r="F74" s="1002"/>
    </row>
    <row r="75" spans="2:6" ht="12.75" customHeight="1" x14ac:dyDescent="0.25">
      <c r="B75" s="998"/>
      <c r="C75" s="63">
        <v>2018</v>
      </c>
      <c r="D75" s="63">
        <v>2019</v>
      </c>
      <c r="E75" s="63">
        <v>2020</v>
      </c>
      <c r="F75" s="63">
        <v>2021</v>
      </c>
    </row>
    <row r="76" spans="2:6" ht="24" customHeight="1" thickBot="1" x14ac:dyDescent="0.3">
      <c r="B76" s="999"/>
      <c r="C76" s="64" t="s">
        <v>10</v>
      </c>
      <c r="D76" s="64" t="s">
        <v>11</v>
      </c>
      <c r="E76" s="64" t="s">
        <v>11</v>
      </c>
      <c r="F76" s="64" t="s">
        <v>11</v>
      </c>
    </row>
    <row r="77" spans="2:6" ht="24.75" customHeight="1" thickBot="1" x14ac:dyDescent="0.3">
      <c r="B77" s="65" t="s">
        <v>26</v>
      </c>
      <c r="C77" s="164">
        <v>12150</v>
      </c>
      <c r="D77" s="164">
        <v>12150</v>
      </c>
      <c r="E77" s="164">
        <v>12150</v>
      </c>
      <c r="F77" s="164">
        <v>12150</v>
      </c>
    </row>
    <row r="78" spans="2:6" ht="38.25" customHeight="1" thickBot="1" x14ac:dyDescent="0.3">
      <c r="B78" s="181" t="s">
        <v>27</v>
      </c>
      <c r="C78" s="165"/>
      <c r="D78" s="332">
        <f>C77*1.03</f>
        <v>12514.5</v>
      </c>
      <c r="E78" s="332">
        <f t="shared" ref="E78:F78" si="9">D77*1.03</f>
        <v>12514.5</v>
      </c>
      <c r="F78" s="332">
        <f t="shared" si="9"/>
        <v>12514.5</v>
      </c>
    </row>
    <row r="79" spans="2:6" ht="24.75" customHeight="1" thickBot="1" x14ac:dyDescent="0.3">
      <c r="B79" s="181" t="s">
        <v>45</v>
      </c>
      <c r="C79" s="165"/>
      <c r="D79" s="332">
        <f>C77*1.035</f>
        <v>12575.249999999998</v>
      </c>
      <c r="E79" s="332">
        <f t="shared" ref="E79:F79" si="10">D77*1.035</f>
        <v>12575.249999999998</v>
      </c>
      <c r="F79" s="332">
        <f t="shared" si="10"/>
        <v>12575.249999999998</v>
      </c>
    </row>
    <row r="80" spans="2:6" ht="24.75" customHeight="1" thickBot="1" x14ac:dyDescent="0.3">
      <c r="B80" s="65" t="s">
        <v>28</v>
      </c>
      <c r="C80" s="164">
        <v>1980</v>
      </c>
      <c r="D80" s="164">
        <v>1980</v>
      </c>
      <c r="E80" s="164">
        <v>1980</v>
      </c>
      <c r="F80" s="164">
        <v>1980</v>
      </c>
    </row>
    <row r="81" spans="2:8" ht="39" customHeight="1" thickBot="1" x14ac:dyDescent="0.3">
      <c r="B81" s="181" t="s">
        <v>29</v>
      </c>
      <c r="C81" s="165"/>
      <c r="D81" s="332">
        <f>C80*1.03</f>
        <v>2039.4</v>
      </c>
      <c r="E81" s="332">
        <f t="shared" ref="E81:F81" si="11">D80*1.03</f>
        <v>2039.4</v>
      </c>
      <c r="F81" s="332">
        <f t="shared" si="11"/>
        <v>2039.4</v>
      </c>
    </row>
    <row r="82" spans="2:8" ht="35.25" customHeight="1" thickBot="1" x14ac:dyDescent="0.3">
      <c r="B82" s="181" t="s">
        <v>46</v>
      </c>
      <c r="C82" s="165"/>
      <c r="D82" s="332">
        <f>C80*1.035</f>
        <v>2049.2999999999997</v>
      </c>
      <c r="E82" s="332">
        <f t="shared" ref="E82:F82" si="12">D80*1.035</f>
        <v>2049.2999999999997</v>
      </c>
      <c r="F82" s="332">
        <f t="shared" si="12"/>
        <v>2049.2999999999997</v>
      </c>
    </row>
    <row r="83" spans="2:8" ht="24.75" customHeight="1" thickBot="1" x14ac:dyDescent="0.3">
      <c r="B83" s="65" t="s">
        <v>30</v>
      </c>
      <c r="C83" s="165">
        <v>5298</v>
      </c>
      <c r="D83" s="332">
        <v>5328</v>
      </c>
      <c r="E83" s="332">
        <v>5418</v>
      </c>
      <c r="F83" s="332">
        <v>5568</v>
      </c>
    </row>
    <row r="84" spans="2:8" ht="30.75" thickBot="1" x14ac:dyDescent="0.3">
      <c r="B84" s="181" t="s">
        <v>31</v>
      </c>
      <c r="C84" s="165"/>
      <c r="D84" s="332">
        <f>C83*1.03</f>
        <v>5456.9400000000005</v>
      </c>
      <c r="E84" s="332">
        <f t="shared" ref="E84:F84" si="13">D83*1.03</f>
        <v>5487.84</v>
      </c>
      <c r="F84" s="332">
        <f t="shared" si="13"/>
        <v>5580.54</v>
      </c>
    </row>
    <row r="85" spans="2:8" ht="30.75" thickBot="1" x14ac:dyDescent="0.3">
      <c r="B85" s="181" t="s">
        <v>47</v>
      </c>
      <c r="C85" s="165"/>
      <c r="D85" s="332">
        <f>C83*1.035</f>
        <v>5483.4299999999994</v>
      </c>
      <c r="E85" s="332">
        <f t="shared" ref="E85:F85" si="14">D83*1.035</f>
        <v>5514.48</v>
      </c>
      <c r="F85" s="332">
        <f t="shared" si="14"/>
        <v>5607.6299999999992</v>
      </c>
    </row>
    <row r="86" spans="2:8" ht="15.75" thickBot="1" x14ac:dyDescent="0.3">
      <c r="B86" s="65" t="s">
        <v>36</v>
      </c>
      <c r="C86" s="165">
        <v>30</v>
      </c>
      <c r="D86" s="165">
        <v>30</v>
      </c>
      <c r="E86" s="165">
        <v>30</v>
      </c>
      <c r="F86" s="165">
        <v>30</v>
      </c>
    </row>
    <row r="87" spans="2:8" ht="30.75" thickBot="1" x14ac:dyDescent="0.3">
      <c r="B87" s="181" t="s">
        <v>37</v>
      </c>
      <c r="C87" s="165"/>
      <c r="D87" s="334">
        <f>C86*1.03</f>
        <v>30.900000000000002</v>
      </c>
      <c r="E87" s="334">
        <f t="shared" ref="E87:F87" si="15">D86*1.03</f>
        <v>30.900000000000002</v>
      </c>
      <c r="F87" s="334">
        <f t="shared" si="15"/>
        <v>30.900000000000002</v>
      </c>
    </row>
    <row r="88" spans="2:8" ht="30.75" thickBot="1" x14ac:dyDescent="0.3">
      <c r="B88" s="181" t="s">
        <v>50</v>
      </c>
      <c r="C88" s="165"/>
      <c r="D88" s="332">
        <f>C86*1.035</f>
        <v>31.049999999999997</v>
      </c>
      <c r="E88" s="332">
        <f t="shared" ref="E88:F88" si="16">D86*1.035</f>
        <v>31.049999999999997</v>
      </c>
      <c r="F88" s="332">
        <f t="shared" si="16"/>
        <v>31.049999999999997</v>
      </c>
    </row>
    <row r="89" spans="2:8" ht="15.75" thickBot="1" x14ac:dyDescent="0.3">
      <c r="B89" s="65" t="s">
        <v>38</v>
      </c>
      <c r="C89" s="165">
        <v>72</v>
      </c>
      <c r="D89" s="333">
        <v>72</v>
      </c>
      <c r="E89" s="333">
        <v>72</v>
      </c>
      <c r="F89" s="333">
        <v>72</v>
      </c>
    </row>
    <row r="90" spans="2:8" ht="30.75" thickBot="1" x14ac:dyDescent="0.3">
      <c r="B90" s="181" t="s">
        <v>39</v>
      </c>
      <c r="C90" s="165"/>
      <c r="D90" s="332">
        <f>C89*1.03</f>
        <v>74.16</v>
      </c>
      <c r="E90" s="332">
        <f t="shared" ref="E90:F90" si="17">D89*1.03</f>
        <v>74.16</v>
      </c>
      <c r="F90" s="332">
        <f t="shared" si="17"/>
        <v>74.16</v>
      </c>
    </row>
    <row r="91" spans="2:8" ht="30.75" thickBot="1" x14ac:dyDescent="0.3">
      <c r="B91" s="181" t="s">
        <v>51</v>
      </c>
      <c r="C91" s="165"/>
      <c r="D91" s="332">
        <f>C89*1.035</f>
        <v>74.52</v>
      </c>
      <c r="E91" s="332">
        <f t="shared" ref="E91:F91" si="18">D89*1.035</f>
        <v>74.52</v>
      </c>
      <c r="F91" s="332">
        <f t="shared" si="18"/>
        <v>74.52</v>
      </c>
    </row>
    <row r="92" spans="2:8" ht="15.75" thickBot="1" x14ac:dyDescent="0.3">
      <c r="B92" s="196" t="s">
        <v>43</v>
      </c>
      <c r="C92" s="165">
        <f>C89+C86+C83+C80+C77</f>
        <v>19530</v>
      </c>
      <c r="D92" s="165">
        <f>D89+D86+D83+D80+D77</f>
        <v>19560</v>
      </c>
      <c r="E92" s="165">
        <f>E89+E86+E83+E80+E77</f>
        <v>19650</v>
      </c>
      <c r="F92" s="165">
        <f>F89+F86+F83+F80+F77</f>
        <v>19800</v>
      </c>
      <c r="H92" s="163"/>
    </row>
    <row r="93" spans="2:8" ht="15" customHeight="1" x14ac:dyDescent="0.25">
      <c r="B93" s="1015" t="s">
        <v>562</v>
      </c>
      <c r="C93" s="1077" t="s">
        <v>558</v>
      </c>
      <c r="D93" s="1078"/>
      <c r="E93" s="1078"/>
      <c r="F93" s="1079"/>
    </row>
    <row r="94" spans="2:8" x14ac:dyDescent="0.25">
      <c r="B94" s="1016"/>
      <c r="C94" s="1080"/>
      <c r="D94" s="1081"/>
      <c r="E94" s="1081"/>
      <c r="F94" s="1082"/>
    </row>
    <row r="95" spans="2:8" ht="18" customHeight="1" thickBot="1" x14ac:dyDescent="0.3">
      <c r="B95" s="1017"/>
      <c r="C95" s="1083"/>
      <c r="D95" s="1084"/>
      <c r="E95" s="1084"/>
      <c r="F95" s="1085"/>
    </row>
    <row r="96" spans="2:8" ht="17.25" customHeight="1" thickBot="1" x14ac:dyDescent="0.3">
      <c r="B96" s="166" t="s">
        <v>41</v>
      </c>
      <c r="C96" s="167">
        <f>IF(C92-C69=0,0,"Error")</f>
        <v>0</v>
      </c>
      <c r="D96" s="167">
        <f>IF(D92-D69=0,0,"Error")</f>
        <v>0</v>
      </c>
      <c r="E96" s="167">
        <v>0</v>
      </c>
      <c r="F96" s="167">
        <f>IF(F92-F69=0,0,"Error")</f>
        <v>0</v>
      </c>
    </row>
    <row r="97" spans="2:9" ht="15.75" thickBot="1" x14ac:dyDescent="0.3">
      <c r="B97" s="989" t="s">
        <v>55</v>
      </c>
      <c r="C97" s="990"/>
      <c r="D97" s="990"/>
      <c r="E97" s="990"/>
      <c r="F97" s="991"/>
    </row>
    <row r="98" spans="2:9" ht="15.75" thickBot="1" x14ac:dyDescent="0.3">
      <c r="B98" s="989" t="s">
        <v>56</v>
      </c>
      <c r="C98" s="990"/>
      <c r="D98" s="990"/>
      <c r="E98" s="990"/>
      <c r="F98" s="991"/>
    </row>
    <row r="99" spans="2:9" ht="15.75" thickBot="1" x14ac:dyDescent="0.3">
      <c r="B99" s="67" t="s">
        <v>79</v>
      </c>
      <c r="C99" s="992" t="s">
        <v>563</v>
      </c>
      <c r="D99" s="993"/>
      <c r="E99" s="993"/>
      <c r="F99" s="994"/>
    </row>
    <row r="100" spans="2:9" ht="45" customHeight="1" thickBot="1" x14ac:dyDescent="0.3">
      <c r="B100" s="160" t="s">
        <v>16</v>
      </c>
      <c r="C100" s="992" t="s">
        <v>556</v>
      </c>
      <c r="D100" s="993"/>
      <c r="E100" s="993"/>
      <c r="F100" s="994"/>
    </row>
    <row r="101" spans="2:9" ht="34.5" customHeight="1" thickBot="1" x14ac:dyDescent="0.3">
      <c r="B101" s="62" t="s">
        <v>17</v>
      </c>
      <c r="C101" s="983" t="s">
        <v>557</v>
      </c>
      <c r="D101" s="984"/>
      <c r="E101" s="984"/>
      <c r="F101" s="985"/>
    </row>
    <row r="102" spans="2:9" ht="19.5" customHeight="1" thickBot="1" x14ac:dyDescent="0.3">
      <c r="B102" s="62" t="s">
        <v>18</v>
      </c>
      <c r="C102" s="995" t="s">
        <v>111</v>
      </c>
      <c r="D102" s="996"/>
      <c r="E102" s="996"/>
      <c r="F102" s="997"/>
    </row>
    <row r="103" spans="2:9" ht="16.5" customHeight="1" x14ac:dyDescent="0.25">
      <c r="B103" s="998"/>
      <c r="C103" s="63">
        <v>2018</v>
      </c>
      <c r="D103" s="63">
        <v>2019</v>
      </c>
      <c r="E103" s="63">
        <v>2020</v>
      </c>
      <c r="F103" s="63">
        <v>2021</v>
      </c>
    </row>
    <row r="104" spans="2:9" ht="15.75" customHeight="1" thickBot="1" x14ac:dyDescent="0.3">
      <c r="B104" s="999"/>
      <c r="C104" s="64" t="s">
        <v>10</v>
      </c>
      <c r="D104" s="64" t="s">
        <v>11</v>
      </c>
      <c r="E104" s="64" t="s">
        <v>11</v>
      </c>
      <c r="F104" s="64" t="s">
        <v>11</v>
      </c>
    </row>
    <row r="105" spans="2:9" ht="15.75" thickBot="1" x14ac:dyDescent="0.3">
      <c r="B105" s="62" t="s">
        <v>19</v>
      </c>
      <c r="C105" s="161">
        <v>184</v>
      </c>
      <c r="D105" s="161">
        <v>210</v>
      </c>
      <c r="E105" s="161">
        <v>230</v>
      </c>
      <c r="F105" s="161">
        <v>255</v>
      </c>
    </row>
    <row r="106" spans="2:9" ht="15.75" thickBot="1" x14ac:dyDescent="0.3">
      <c r="B106" s="62" t="s">
        <v>20</v>
      </c>
      <c r="C106" s="161">
        <v>1200</v>
      </c>
      <c r="D106" s="161">
        <v>300</v>
      </c>
      <c r="E106" s="161">
        <v>300</v>
      </c>
      <c r="F106" s="161">
        <v>300</v>
      </c>
    </row>
    <row r="107" spans="2:9" ht="15.75" thickBot="1" x14ac:dyDescent="0.3">
      <c r="B107" s="62" t="s">
        <v>21</v>
      </c>
      <c r="C107" s="161">
        <f>C106/C105</f>
        <v>6.5217391304347823</v>
      </c>
      <c r="D107" s="161">
        <f t="shared" ref="D107:F107" si="19">D106/D105</f>
        <v>1.4285714285714286</v>
      </c>
      <c r="E107" s="161">
        <f t="shared" si="19"/>
        <v>1.3043478260869565</v>
      </c>
      <c r="F107" s="161">
        <f t="shared" si="19"/>
        <v>1.1764705882352942</v>
      </c>
    </row>
    <row r="108" spans="2:9" ht="15.75" thickBot="1" x14ac:dyDescent="0.3">
      <c r="B108" s="62" t="s">
        <v>22</v>
      </c>
      <c r="C108" s="145" t="s">
        <v>23</v>
      </c>
      <c r="D108" s="162">
        <f>D105/C105-1</f>
        <v>0.14130434782608692</v>
      </c>
      <c r="E108" s="162">
        <f t="shared" ref="E108:F110" si="20">E105/D105-1</f>
        <v>9.5238095238095344E-2</v>
      </c>
      <c r="F108" s="162">
        <f t="shared" si="20"/>
        <v>0.10869565217391308</v>
      </c>
      <c r="H108" s="163"/>
      <c r="I108" s="163"/>
    </row>
    <row r="109" spans="2:9" ht="15.75" thickBot="1" x14ac:dyDescent="0.3">
      <c r="B109" s="62" t="s">
        <v>24</v>
      </c>
      <c r="C109" s="145" t="s">
        <v>23</v>
      </c>
      <c r="D109" s="162">
        <f>D106/C106-1</f>
        <v>-0.75</v>
      </c>
      <c r="E109" s="162">
        <f t="shared" si="20"/>
        <v>0</v>
      </c>
      <c r="F109" s="162">
        <f t="shared" si="20"/>
        <v>0</v>
      </c>
    </row>
    <row r="110" spans="2:9" ht="15.75" thickBot="1" x14ac:dyDescent="0.3">
      <c r="B110" s="62" t="s">
        <v>25</v>
      </c>
      <c r="C110" s="145" t="s">
        <v>23</v>
      </c>
      <c r="D110" s="162">
        <f>D107/C107-1</f>
        <v>-0.78095238095238095</v>
      </c>
      <c r="E110" s="162">
        <f t="shared" si="20"/>
        <v>-8.6956521739130488E-2</v>
      </c>
      <c r="F110" s="162">
        <f t="shared" si="20"/>
        <v>-9.8039215686274495E-2</v>
      </c>
    </row>
    <row r="111" spans="2:9" ht="15.75" thickBot="1" x14ac:dyDescent="0.3">
      <c r="B111" s="1000" t="s">
        <v>784</v>
      </c>
      <c r="C111" s="1001"/>
      <c r="D111" s="1001"/>
      <c r="E111" s="1001"/>
      <c r="F111" s="1002"/>
    </row>
    <row r="112" spans="2:9" ht="12.75" customHeight="1" x14ac:dyDescent="0.25">
      <c r="B112" s="998"/>
      <c r="C112" s="63">
        <v>2018</v>
      </c>
      <c r="D112" s="63">
        <v>2019</v>
      </c>
      <c r="E112" s="63">
        <v>2020</v>
      </c>
      <c r="F112" s="63">
        <v>2021</v>
      </c>
    </row>
    <row r="113" spans="2:6" ht="12.75" customHeight="1" thickBot="1" x14ac:dyDescent="0.3">
      <c r="B113" s="999"/>
      <c r="C113" s="64" t="s">
        <v>10</v>
      </c>
      <c r="D113" s="64" t="s">
        <v>11</v>
      </c>
      <c r="E113" s="64" t="s">
        <v>11</v>
      </c>
      <c r="F113" s="64" t="s">
        <v>11</v>
      </c>
    </row>
    <row r="114" spans="2:6" ht="15.75" thickBot="1" x14ac:dyDescent="0.3">
      <c r="B114" s="65" t="s">
        <v>58</v>
      </c>
      <c r="C114" s="164"/>
      <c r="D114" s="164"/>
      <c r="E114" s="164"/>
      <c r="F114" s="164"/>
    </row>
    <row r="115" spans="2:6" ht="15.75" thickBot="1" x14ac:dyDescent="0.3">
      <c r="B115" s="65" t="s">
        <v>59</v>
      </c>
      <c r="C115" s="161">
        <v>1200</v>
      </c>
      <c r="D115" s="161">
        <v>300</v>
      </c>
      <c r="E115" s="161">
        <v>300</v>
      </c>
      <c r="F115" s="161">
        <v>300</v>
      </c>
    </row>
    <row r="116" spans="2:6" ht="15.75" thickBot="1" x14ac:dyDescent="0.3">
      <c r="B116" s="66" t="s">
        <v>40</v>
      </c>
      <c r="C116" s="165">
        <f>C115+C114</f>
        <v>1200</v>
      </c>
      <c r="D116" s="165">
        <f t="shared" ref="D116:F116" si="21">D115+D114</f>
        <v>300</v>
      </c>
      <c r="E116" s="165">
        <f t="shared" si="21"/>
        <v>300</v>
      </c>
      <c r="F116" s="165">
        <f t="shared" si="21"/>
        <v>300</v>
      </c>
    </row>
    <row r="117" spans="2:6" x14ac:dyDescent="0.25">
      <c r="B117" s="1015" t="s">
        <v>60</v>
      </c>
      <c r="C117" s="1036"/>
      <c r="D117" s="1037"/>
      <c r="E117" s="1037"/>
      <c r="F117" s="1038"/>
    </row>
    <row r="118" spans="2:6" x14ac:dyDescent="0.25">
      <c r="B118" s="1016"/>
      <c r="C118" s="1039"/>
      <c r="D118" s="1040"/>
      <c r="E118" s="1040"/>
      <c r="F118" s="1041"/>
    </row>
    <row r="119" spans="2:6" ht="15.75" thickBot="1" x14ac:dyDescent="0.3">
      <c r="B119" s="1017"/>
      <c r="C119" s="1042"/>
      <c r="D119" s="1043"/>
      <c r="E119" s="1043"/>
      <c r="F119" s="1044"/>
    </row>
    <row r="120" spans="2:6" ht="15.75" thickBot="1" x14ac:dyDescent="0.3">
      <c r="B120" s="67" t="s">
        <v>61</v>
      </c>
      <c r="C120" s="992" t="s">
        <v>563</v>
      </c>
      <c r="D120" s="993"/>
      <c r="E120" s="993"/>
      <c r="F120" s="994"/>
    </row>
    <row r="121" spans="2:6" ht="20.25" customHeight="1" thickBot="1" x14ac:dyDescent="0.3">
      <c r="B121" s="160" t="s">
        <v>125</v>
      </c>
      <c r="C121" s="992" t="s">
        <v>559</v>
      </c>
      <c r="D121" s="993"/>
      <c r="E121" s="993"/>
      <c r="F121" s="994"/>
    </row>
    <row r="122" spans="2:6" ht="63.75" customHeight="1" thickBot="1" x14ac:dyDescent="0.3">
      <c r="B122" s="62" t="s">
        <v>17</v>
      </c>
      <c r="C122" s="983" t="s">
        <v>560</v>
      </c>
      <c r="D122" s="984"/>
      <c r="E122" s="984"/>
      <c r="F122" s="985"/>
    </row>
    <row r="123" spans="2:6" ht="15.75" thickBot="1" x14ac:dyDescent="0.3">
      <c r="B123" s="62" t="s">
        <v>18</v>
      </c>
      <c r="C123" s="995" t="s">
        <v>561</v>
      </c>
      <c r="D123" s="996"/>
      <c r="E123" s="996"/>
      <c r="F123" s="997"/>
    </row>
    <row r="124" spans="2:6" ht="12.75" customHeight="1" x14ac:dyDescent="0.25">
      <c r="B124" s="998"/>
      <c r="C124" s="63">
        <v>2018</v>
      </c>
      <c r="D124" s="63">
        <v>2019</v>
      </c>
      <c r="E124" s="63">
        <v>2020</v>
      </c>
      <c r="F124" s="63">
        <v>2021</v>
      </c>
    </row>
    <row r="125" spans="2:6" ht="13.5" customHeight="1" thickBot="1" x14ac:dyDescent="0.3">
      <c r="B125" s="999"/>
      <c r="C125" s="64" t="s">
        <v>10</v>
      </c>
      <c r="D125" s="64" t="s">
        <v>11</v>
      </c>
      <c r="E125" s="64" t="s">
        <v>11</v>
      </c>
      <c r="F125" s="64" t="s">
        <v>11</v>
      </c>
    </row>
    <row r="126" spans="2:6" ht="15.75" thickBot="1" x14ac:dyDescent="0.3">
      <c r="B126" s="62" t="s">
        <v>19</v>
      </c>
      <c r="C126" s="161">
        <v>205</v>
      </c>
      <c r="D126" s="161">
        <v>297</v>
      </c>
      <c r="E126" s="161">
        <v>320</v>
      </c>
      <c r="F126" s="161">
        <v>350</v>
      </c>
    </row>
    <row r="127" spans="2:6" ht="15.75" thickBot="1" x14ac:dyDescent="0.3">
      <c r="B127" s="62" t="s">
        <v>20</v>
      </c>
      <c r="C127" s="161">
        <v>1200</v>
      </c>
      <c r="D127" s="161">
        <v>300</v>
      </c>
      <c r="E127" s="161">
        <v>300</v>
      </c>
      <c r="F127" s="161">
        <v>300</v>
      </c>
    </row>
    <row r="128" spans="2:6" ht="15.75" thickBot="1" x14ac:dyDescent="0.3">
      <c r="B128" s="62" t="s">
        <v>21</v>
      </c>
      <c r="C128" s="161">
        <f>C127/C126</f>
        <v>5.8536585365853657</v>
      </c>
      <c r="D128" s="161">
        <f t="shared" ref="D128:F128" si="22">D127/D126</f>
        <v>1.0101010101010102</v>
      </c>
      <c r="E128" s="161">
        <f t="shared" si="22"/>
        <v>0.9375</v>
      </c>
      <c r="F128" s="161">
        <f t="shared" si="22"/>
        <v>0.8571428571428571</v>
      </c>
    </row>
    <row r="129" spans="2:9" ht="15.75" thickBot="1" x14ac:dyDescent="0.3">
      <c r="B129" s="62" t="s">
        <v>22</v>
      </c>
      <c r="C129" s="145" t="s">
        <v>23</v>
      </c>
      <c r="D129" s="162">
        <f>D126/C126-1</f>
        <v>0.448780487804878</v>
      </c>
      <c r="E129" s="162">
        <f t="shared" ref="E129:F131" si="23">E126/D126-1</f>
        <v>7.7441077441077422E-2</v>
      </c>
      <c r="F129" s="162">
        <f t="shared" si="23"/>
        <v>9.375E-2</v>
      </c>
      <c r="H129" s="163"/>
      <c r="I129" s="163"/>
    </row>
    <row r="130" spans="2:9" ht="15.75" thickBot="1" x14ac:dyDescent="0.3">
      <c r="B130" s="62" t="s">
        <v>24</v>
      </c>
      <c r="C130" s="145" t="s">
        <v>23</v>
      </c>
      <c r="D130" s="162">
        <f>D127/C127-1</f>
        <v>-0.75</v>
      </c>
      <c r="E130" s="162">
        <f t="shared" si="23"/>
        <v>0</v>
      </c>
      <c r="F130" s="162">
        <f t="shared" si="23"/>
        <v>0</v>
      </c>
    </row>
    <row r="131" spans="2:9" ht="15.75" thickBot="1" x14ac:dyDescent="0.3">
      <c r="B131" s="62" t="s">
        <v>25</v>
      </c>
      <c r="C131" s="145" t="s">
        <v>23</v>
      </c>
      <c r="D131" s="162">
        <f>D128/C128-1</f>
        <v>-0.82744107744107742</v>
      </c>
      <c r="E131" s="162">
        <f t="shared" si="23"/>
        <v>-7.1875000000000022E-2</v>
      </c>
      <c r="F131" s="162">
        <f t="shared" si="23"/>
        <v>-8.5714285714285743E-2</v>
      </c>
    </row>
    <row r="132" spans="2:9" ht="15.75" thickBot="1" x14ac:dyDescent="0.3">
      <c r="B132" s="1000" t="s">
        <v>786</v>
      </c>
      <c r="C132" s="1001"/>
      <c r="D132" s="1001"/>
      <c r="E132" s="1001"/>
      <c r="F132" s="1002"/>
    </row>
    <row r="133" spans="2:9" ht="12.75" customHeight="1" x14ac:dyDescent="0.25">
      <c r="B133" s="998"/>
      <c r="C133" s="63">
        <v>2018</v>
      </c>
      <c r="D133" s="63">
        <v>2019</v>
      </c>
      <c r="E133" s="63">
        <v>2020</v>
      </c>
      <c r="F133" s="63">
        <v>2021</v>
      </c>
    </row>
    <row r="134" spans="2:9" ht="22.5" customHeight="1" thickBot="1" x14ac:dyDescent="0.3">
      <c r="B134" s="999"/>
      <c r="C134" s="64" t="s">
        <v>10</v>
      </c>
      <c r="D134" s="64" t="s">
        <v>11</v>
      </c>
      <c r="E134" s="64" t="s">
        <v>11</v>
      </c>
      <c r="F134" s="64" t="s">
        <v>11</v>
      </c>
    </row>
    <row r="135" spans="2:9" ht="15.75" thickBot="1" x14ac:dyDescent="0.3">
      <c r="B135" s="65" t="s">
        <v>58</v>
      </c>
      <c r="C135" s="164"/>
      <c r="D135" s="164"/>
      <c r="E135" s="164"/>
      <c r="F135" s="164"/>
    </row>
    <row r="136" spans="2:9" ht="15.75" thickBot="1" x14ac:dyDescent="0.3">
      <c r="B136" s="65" t="s">
        <v>59</v>
      </c>
      <c r="C136" s="161">
        <v>1200</v>
      </c>
      <c r="D136" s="161">
        <v>300</v>
      </c>
      <c r="E136" s="161">
        <v>300</v>
      </c>
      <c r="F136" s="161">
        <v>300</v>
      </c>
    </row>
    <row r="137" spans="2:9" ht="15.75" thickBot="1" x14ac:dyDescent="0.3">
      <c r="B137" s="66" t="s">
        <v>43</v>
      </c>
      <c r="C137" s="165">
        <f>C136+C135</f>
        <v>1200</v>
      </c>
      <c r="D137" s="165">
        <f t="shared" ref="D137:F137" si="24">D136+D135</f>
        <v>300</v>
      </c>
      <c r="E137" s="165">
        <f t="shared" si="24"/>
        <v>300</v>
      </c>
      <c r="F137" s="165">
        <f t="shared" si="24"/>
        <v>300</v>
      </c>
    </row>
    <row r="138" spans="2:9" x14ac:dyDescent="0.25">
      <c r="B138" s="1015" t="s">
        <v>62</v>
      </c>
      <c r="C138" s="1077" t="s">
        <v>558</v>
      </c>
      <c r="D138" s="1078"/>
      <c r="E138" s="1078"/>
      <c r="F138" s="1079"/>
    </row>
    <row r="139" spans="2:9" x14ac:dyDescent="0.25">
      <c r="B139" s="1016"/>
      <c r="C139" s="1080"/>
      <c r="D139" s="1081"/>
      <c r="E139" s="1081"/>
      <c r="F139" s="1082"/>
    </row>
    <row r="140" spans="2:9" ht="15.75" thickBot="1" x14ac:dyDescent="0.3">
      <c r="B140" s="1017"/>
      <c r="C140" s="1083"/>
      <c r="D140" s="1084"/>
      <c r="E140" s="1084"/>
      <c r="F140" s="1085"/>
    </row>
    <row r="141" spans="2:9" ht="15.75" thickBot="1" x14ac:dyDescent="0.3">
      <c r="B141" s="989" t="s">
        <v>69</v>
      </c>
      <c r="C141" s="990"/>
      <c r="D141" s="990"/>
      <c r="E141" s="990"/>
      <c r="F141" s="991"/>
    </row>
    <row r="142" spans="2:9" ht="15.75" thickBot="1" x14ac:dyDescent="0.3">
      <c r="B142" s="989" t="s">
        <v>15</v>
      </c>
      <c r="C142" s="990"/>
      <c r="D142" s="990"/>
      <c r="E142" s="990"/>
      <c r="F142" s="991"/>
    </row>
    <row r="143" spans="2:9" ht="15.75" thickBot="1" x14ac:dyDescent="0.3">
      <c r="B143" s="160" t="s">
        <v>16</v>
      </c>
      <c r="C143" s="992" t="s">
        <v>564</v>
      </c>
      <c r="D143" s="993"/>
      <c r="E143" s="993"/>
      <c r="F143" s="994"/>
    </row>
    <row r="144" spans="2:9" ht="64.5" customHeight="1" thickBot="1" x14ac:dyDescent="0.3">
      <c r="B144" s="62" t="s">
        <v>17</v>
      </c>
      <c r="C144" s="983" t="s">
        <v>565</v>
      </c>
      <c r="D144" s="984"/>
      <c r="E144" s="984"/>
      <c r="F144" s="985"/>
    </row>
    <row r="145" spans="2:6" ht="15.75" thickBot="1" x14ac:dyDescent="0.3">
      <c r="B145" s="62" t="s">
        <v>18</v>
      </c>
      <c r="C145" s="995" t="s">
        <v>111</v>
      </c>
      <c r="D145" s="996"/>
      <c r="E145" s="996"/>
      <c r="F145" s="997"/>
    </row>
    <row r="146" spans="2:6" x14ac:dyDescent="0.25">
      <c r="B146" s="998"/>
      <c r="C146" s="63">
        <v>2018</v>
      </c>
      <c r="D146" s="63">
        <v>2019</v>
      </c>
      <c r="E146" s="63">
        <v>2020</v>
      </c>
      <c r="F146" s="63">
        <v>2021</v>
      </c>
    </row>
    <row r="147" spans="2:6" ht="15.75" thickBot="1" x14ac:dyDescent="0.3">
      <c r="B147" s="999"/>
      <c r="C147" s="64" t="s">
        <v>10</v>
      </c>
      <c r="D147" s="64" t="s">
        <v>11</v>
      </c>
      <c r="E147" s="64" t="s">
        <v>11</v>
      </c>
      <c r="F147" s="64" t="s">
        <v>11</v>
      </c>
    </row>
    <row r="148" spans="2:6" ht="15.75" thickBot="1" x14ac:dyDescent="0.3">
      <c r="B148" s="62" t="s">
        <v>19</v>
      </c>
      <c r="C148" s="161">
        <v>128</v>
      </c>
      <c r="D148" s="161">
        <v>140</v>
      </c>
      <c r="E148" s="161">
        <v>150</v>
      </c>
      <c r="F148" s="161">
        <v>170</v>
      </c>
    </row>
    <row r="149" spans="2:6" ht="15.75" thickBot="1" x14ac:dyDescent="0.3">
      <c r="B149" s="62" t="s">
        <v>20</v>
      </c>
      <c r="C149" s="161">
        <v>13020</v>
      </c>
      <c r="D149" s="161">
        <v>13040</v>
      </c>
      <c r="E149" s="161">
        <v>13100</v>
      </c>
      <c r="F149" s="161">
        <v>13200</v>
      </c>
    </row>
    <row r="150" spans="2:6" ht="15.75" thickBot="1" x14ac:dyDescent="0.3">
      <c r="B150" s="62" t="s">
        <v>21</v>
      </c>
      <c r="C150" s="161">
        <f>C149/C148</f>
        <v>101.71875</v>
      </c>
      <c r="D150" s="161">
        <f t="shared" ref="D150:F150" si="25">D149/D148</f>
        <v>93.142857142857139</v>
      </c>
      <c r="E150" s="161">
        <f t="shared" si="25"/>
        <v>87.333333333333329</v>
      </c>
      <c r="F150" s="161">
        <f t="shared" si="25"/>
        <v>77.647058823529406</v>
      </c>
    </row>
    <row r="151" spans="2:6" ht="15.75" thickBot="1" x14ac:dyDescent="0.3">
      <c r="B151" s="62" t="s">
        <v>22</v>
      </c>
      <c r="C151" s="145" t="s">
        <v>23</v>
      </c>
      <c r="D151" s="162">
        <f>D148/C148-1</f>
        <v>9.375E-2</v>
      </c>
      <c r="E151" s="162">
        <f t="shared" ref="E151:F153" si="26">E148/D148-1</f>
        <v>7.1428571428571397E-2</v>
      </c>
      <c r="F151" s="162">
        <f t="shared" si="26"/>
        <v>0.1333333333333333</v>
      </c>
    </row>
    <row r="152" spans="2:6" ht="15.75" thickBot="1" x14ac:dyDescent="0.3">
      <c r="B152" s="62" t="s">
        <v>24</v>
      </c>
      <c r="C152" s="145" t="s">
        <v>23</v>
      </c>
      <c r="D152" s="162">
        <f>D149/C149-1</f>
        <v>1.536098310291889E-3</v>
      </c>
      <c r="E152" s="162">
        <f t="shared" si="26"/>
        <v>4.6012269938651151E-3</v>
      </c>
      <c r="F152" s="162">
        <f t="shared" si="26"/>
        <v>7.6335877862594437E-3</v>
      </c>
    </row>
    <row r="153" spans="2:6" ht="15.75" thickBot="1" x14ac:dyDescent="0.3">
      <c r="B153" s="62" t="s">
        <v>25</v>
      </c>
      <c r="C153" s="145" t="s">
        <v>23</v>
      </c>
      <c r="D153" s="162">
        <f>D150/C150-1</f>
        <v>-8.4309852973447508E-2</v>
      </c>
      <c r="E153" s="162">
        <f t="shared" si="26"/>
        <v>-6.2372188139059315E-2</v>
      </c>
      <c r="F153" s="162">
        <f t="shared" si="26"/>
        <v>-0.1109115401885945</v>
      </c>
    </row>
    <row r="154" spans="2:6" ht="15.75" thickBot="1" x14ac:dyDescent="0.3">
      <c r="B154" s="1000" t="s">
        <v>784</v>
      </c>
      <c r="C154" s="1001"/>
      <c r="D154" s="1001"/>
      <c r="E154" s="1001"/>
      <c r="F154" s="1002"/>
    </row>
    <row r="155" spans="2:6" x14ac:dyDescent="0.25">
      <c r="B155" s="998"/>
      <c r="C155" s="63">
        <v>2018</v>
      </c>
      <c r="D155" s="63">
        <v>2019</v>
      </c>
      <c r="E155" s="63">
        <v>2020</v>
      </c>
      <c r="F155" s="63">
        <v>2021</v>
      </c>
    </row>
    <row r="156" spans="2:6" ht="15.75" thickBot="1" x14ac:dyDescent="0.3">
      <c r="B156" s="999"/>
      <c r="C156" s="64" t="s">
        <v>10</v>
      </c>
      <c r="D156" s="64" t="s">
        <v>11</v>
      </c>
      <c r="E156" s="64" t="s">
        <v>11</v>
      </c>
      <c r="F156" s="64" t="s">
        <v>11</v>
      </c>
    </row>
    <row r="157" spans="2:6" ht="15.75" thickBot="1" x14ac:dyDescent="0.3">
      <c r="B157" s="65" t="s">
        <v>26</v>
      </c>
      <c r="C157" s="342">
        <v>8100</v>
      </c>
      <c r="D157" s="342">
        <v>8100</v>
      </c>
      <c r="E157" s="342">
        <v>8100</v>
      </c>
      <c r="F157" s="342">
        <v>8100</v>
      </c>
    </row>
    <row r="158" spans="2:6" ht="30.75" thickBot="1" x14ac:dyDescent="0.3">
      <c r="B158" s="181" t="s">
        <v>27</v>
      </c>
      <c r="C158" s="343"/>
      <c r="D158" s="341">
        <f>C157*1.03</f>
        <v>8343</v>
      </c>
      <c r="E158" s="341">
        <f>D157*1.03</f>
        <v>8343</v>
      </c>
      <c r="F158" s="341">
        <f>E157*1.03</f>
        <v>8343</v>
      </c>
    </row>
    <row r="159" spans="2:6" ht="30.75" thickBot="1" x14ac:dyDescent="0.3">
      <c r="B159" s="181" t="s">
        <v>817</v>
      </c>
      <c r="C159" s="343"/>
      <c r="D159" s="341">
        <f>C157*1.035</f>
        <v>8383.5</v>
      </c>
      <c r="E159" s="341">
        <f t="shared" ref="E159:F159" si="27">D157*1.035</f>
        <v>8383.5</v>
      </c>
      <c r="F159" s="341">
        <f t="shared" si="27"/>
        <v>8383.5</v>
      </c>
    </row>
    <row r="160" spans="2:6" ht="15.75" thickBot="1" x14ac:dyDescent="0.3">
      <c r="B160" s="65" t="s">
        <v>28</v>
      </c>
      <c r="C160" s="342">
        <v>1320</v>
      </c>
      <c r="D160" s="342">
        <v>1320</v>
      </c>
      <c r="E160" s="342">
        <v>1320</v>
      </c>
      <c r="F160" s="342">
        <v>1320</v>
      </c>
    </row>
    <row r="161" spans="2:6" ht="30.75" thickBot="1" x14ac:dyDescent="0.3">
      <c r="B161" s="181" t="s">
        <v>29</v>
      </c>
      <c r="C161" s="343"/>
      <c r="D161" s="342">
        <f>C160*1.03</f>
        <v>1359.6000000000001</v>
      </c>
      <c r="E161" s="342">
        <f t="shared" ref="E161:F161" si="28">D160*1.03</f>
        <v>1359.6000000000001</v>
      </c>
      <c r="F161" s="342">
        <f t="shared" si="28"/>
        <v>1359.6000000000001</v>
      </c>
    </row>
    <row r="162" spans="2:6" ht="30.75" thickBot="1" x14ac:dyDescent="0.3">
      <c r="B162" s="181" t="s">
        <v>818</v>
      </c>
      <c r="C162" s="343"/>
      <c r="D162" s="342">
        <f>C160*1.035</f>
        <v>1366.1999999999998</v>
      </c>
      <c r="E162" s="342">
        <f t="shared" ref="E162:F162" si="29">D160*1.035</f>
        <v>1366.1999999999998</v>
      </c>
      <c r="F162" s="342">
        <f t="shared" si="29"/>
        <v>1366.1999999999998</v>
      </c>
    </row>
    <row r="163" spans="2:6" ht="15.75" thickBot="1" x14ac:dyDescent="0.3">
      <c r="B163" s="65" t="s">
        <v>30</v>
      </c>
      <c r="C163" s="343">
        <v>3532</v>
      </c>
      <c r="D163" s="342">
        <v>3552</v>
      </c>
      <c r="E163" s="342">
        <v>3612</v>
      </c>
      <c r="F163" s="342">
        <v>3712</v>
      </c>
    </row>
    <row r="164" spans="2:6" ht="30.75" thickBot="1" x14ac:dyDescent="0.3">
      <c r="B164" s="181" t="s">
        <v>31</v>
      </c>
      <c r="C164" s="343"/>
      <c r="D164" s="342">
        <f>C163*1.03</f>
        <v>3637.96</v>
      </c>
      <c r="E164" s="342">
        <f>D163*1.03</f>
        <v>3658.56</v>
      </c>
      <c r="F164" s="342">
        <f>E163*1.03</f>
        <v>3720.36</v>
      </c>
    </row>
    <row r="165" spans="2:6" ht="30.75" thickBot="1" x14ac:dyDescent="0.3">
      <c r="B165" s="181" t="s">
        <v>819</v>
      </c>
      <c r="C165" s="343"/>
      <c r="D165" s="342">
        <f>D164*1.035</f>
        <v>3765.2885999999999</v>
      </c>
      <c r="E165" s="342">
        <f>E164*1.035</f>
        <v>3786.6095999999998</v>
      </c>
      <c r="F165" s="342">
        <f>F164*1.035</f>
        <v>3850.5726</v>
      </c>
    </row>
    <row r="166" spans="2:6" ht="15.75" thickBot="1" x14ac:dyDescent="0.3">
      <c r="B166" s="65" t="s">
        <v>36</v>
      </c>
      <c r="C166" s="343">
        <v>20</v>
      </c>
      <c r="D166" s="343">
        <v>20</v>
      </c>
      <c r="E166" s="343">
        <v>20</v>
      </c>
      <c r="F166" s="343">
        <v>20</v>
      </c>
    </row>
    <row r="167" spans="2:6" ht="30.75" thickBot="1" x14ac:dyDescent="0.3">
      <c r="B167" s="181" t="s">
        <v>37</v>
      </c>
      <c r="C167" s="343"/>
      <c r="D167" s="342">
        <f>C166*1.03</f>
        <v>20.6</v>
      </c>
      <c r="E167" s="342">
        <f t="shared" ref="E167:F167" si="30">D166*1.03</f>
        <v>20.6</v>
      </c>
      <c r="F167" s="342">
        <f t="shared" si="30"/>
        <v>20.6</v>
      </c>
    </row>
    <row r="168" spans="2:6" ht="30.75" thickBot="1" x14ac:dyDescent="0.3">
      <c r="B168" s="181" t="s">
        <v>822</v>
      </c>
      <c r="C168" s="343"/>
      <c r="D168" s="342">
        <f>C166*1.035</f>
        <v>20.7</v>
      </c>
      <c r="E168" s="342">
        <f t="shared" ref="E168:F168" si="31">D166*1.035</f>
        <v>20.7</v>
      </c>
      <c r="F168" s="342">
        <f t="shared" si="31"/>
        <v>20.7</v>
      </c>
    </row>
    <row r="169" spans="2:6" ht="15.75" thickBot="1" x14ac:dyDescent="0.3">
      <c r="B169" s="65" t="s">
        <v>38</v>
      </c>
      <c r="C169" s="343">
        <v>48</v>
      </c>
      <c r="D169" s="343">
        <v>48</v>
      </c>
      <c r="E169" s="343">
        <v>48</v>
      </c>
      <c r="F169" s="343">
        <v>48</v>
      </c>
    </row>
    <row r="170" spans="2:6" ht="30.75" thickBot="1" x14ac:dyDescent="0.3">
      <c r="B170" s="181" t="s">
        <v>39</v>
      </c>
      <c r="C170" s="343"/>
      <c r="D170" s="342">
        <f>C169*1.03</f>
        <v>49.44</v>
      </c>
      <c r="E170" s="342">
        <f>D169*1.03</f>
        <v>49.44</v>
      </c>
      <c r="F170" s="342">
        <f>E169*1.03</f>
        <v>49.44</v>
      </c>
    </row>
    <row r="171" spans="2:6" ht="30" x14ac:dyDescent="0.25">
      <c r="B171" s="335" t="s">
        <v>823</v>
      </c>
      <c r="C171" s="344"/>
      <c r="D171" s="345">
        <f>C169*1.035</f>
        <v>49.679999999999993</v>
      </c>
      <c r="E171" s="345">
        <f t="shared" ref="E171:F171" si="32">D169*1.035</f>
        <v>49.679999999999993</v>
      </c>
      <c r="F171" s="345">
        <f t="shared" si="32"/>
        <v>49.679999999999993</v>
      </c>
    </row>
    <row r="172" spans="2:6" ht="15.75" customHeight="1" thickBot="1" x14ac:dyDescent="0.3">
      <c r="B172" s="337" t="s">
        <v>40</v>
      </c>
      <c r="C172" s="338">
        <f>C169+C166+C163+C160+C157</f>
        <v>13020</v>
      </c>
      <c r="D172" s="338">
        <f>D169+D166+D163+D160+D157</f>
        <v>13040</v>
      </c>
      <c r="E172" s="338">
        <f>E169+E166+E163+E160+E157</f>
        <v>13100</v>
      </c>
      <c r="F172" s="338">
        <f>F169+F166+F163+F160+F157</f>
        <v>13200</v>
      </c>
    </row>
    <row r="173" spans="2:6" ht="15.75" customHeight="1" x14ac:dyDescent="0.25">
      <c r="B173" s="1015" t="s">
        <v>562</v>
      </c>
      <c r="C173" s="1077" t="s">
        <v>558</v>
      </c>
      <c r="D173" s="1078"/>
      <c r="E173" s="1078"/>
      <c r="F173" s="1079"/>
    </row>
    <row r="174" spans="2:6" ht="15.75" customHeight="1" x14ac:dyDescent="0.25">
      <c r="B174" s="1016"/>
      <c r="C174" s="1080"/>
      <c r="D174" s="1081"/>
      <c r="E174" s="1081"/>
      <c r="F174" s="1082"/>
    </row>
    <row r="175" spans="2:6" ht="15.75" customHeight="1" thickBot="1" x14ac:dyDescent="0.3">
      <c r="B175" s="1017"/>
      <c r="C175" s="1083"/>
      <c r="D175" s="1084"/>
      <c r="E175" s="1084"/>
      <c r="F175" s="1085"/>
    </row>
    <row r="176" spans="2:6" ht="15.75" customHeight="1" thickBot="1" x14ac:dyDescent="0.3">
      <c r="B176" s="166" t="s">
        <v>41</v>
      </c>
      <c r="C176" s="167">
        <f>IF(C172-C149=0,0,"Error")</f>
        <v>0</v>
      </c>
      <c r="D176" s="167">
        <f>IF(D172-D149=0,0,"Error")</f>
        <v>0</v>
      </c>
      <c r="E176" s="167">
        <v>0</v>
      </c>
      <c r="F176" s="167">
        <f>IF(F172-F149=0,0,"Error")</f>
        <v>0</v>
      </c>
    </row>
    <row r="177" spans="2:6" ht="15.75" customHeight="1" thickBot="1" x14ac:dyDescent="0.3">
      <c r="B177" s="195" t="s">
        <v>824</v>
      </c>
      <c r="C177" s="992" t="s">
        <v>566</v>
      </c>
      <c r="D177" s="993"/>
      <c r="E177" s="993"/>
      <c r="F177" s="994"/>
    </row>
    <row r="178" spans="2:6" ht="52.5" customHeight="1" thickBot="1" x14ac:dyDescent="0.3">
      <c r="B178" s="62" t="s">
        <v>17</v>
      </c>
      <c r="C178" s="983" t="s">
        <v>567</v>
      </c>
      <c r="D178" s="984"/>
      <c r="E178" s="984"/>
      <c r="F178" s="985"/>
    </row>
    <row r="179" spans="2:6" ht="15.75" customHeight="1" thickBot="1" x14ac:dyDescent="0.3">
      <c r="B179" s="62" t="s">
        <v>18</v>
      </c>
      <c r="C179" s="995" t="s">
        <v>561</v>
      </c>
      <c r="D179" s="996"/>
      <c r="E179" s="996"/>
      <c r="F179" s="997"/>
    </row>
    <row r="180" spans="2:6" ht="15.75" customHeight="1" x14ac:dyDescent="0.25">
      <c r="B180" s="998"/>
      <c r="C180" s="63">
        <v>2018</v>
      </c>
      <c r="D180" s="63">
        <v>2019</v>
      </c>
      <c r="E180" s="63">
        <v>2020</v>
      </c>
      <c r="F180" s="63">
        <v>2021</v>
      </c>
    </row>
    <row r="181" spans="2:6" ht="15.75" customHeight="1" thickBot="1" x14ac:dyDescent="0.3">
      <c r="B181" s="999"/>
      <c r="C181" s="64" t="s">
        <v>10</v>
      </c>
      <c r="D181" s="64" t="s">
        <v>11</v>
      </c>
      <c r="E181" s="64" t="s">
        <v>11</v>
      </c>
      <c r="F181" s="64" t="s">
        <v>11</v>
      </c>
    </row>
    <row r="182" spans="2:6" ht="15.75" customHeight="1" thickBot="1" x14ac:dyDescent="0.3">
      <c r="B182" s="62" t="s">
        <v>19</v>
      </c>
      <c r="C182" s="161">
        <v>700</v>
      </c>
      <c r="D182" s="161">
        <v>800</v>
      </c>
      <c r="E182" s="161">
        <v>900</v>
      </c>
      <c r="F182" s="161">
        <v>1000</v>
      </c>
    </row>
    <row r="183" spans="2:6" ht="15.75" customHeight="1" thickBot="1" x14ac:dyDescent="0.3">
      <c r="B183" s="62" t="s">
        <v>20</v>
      </c>
      <c r="C183" s="161">
        <v>13020</v>
      </c>
      <c r="D183" s="161">
        <v>13040</v>
      </c>
      <c r="E183" s="161">
        <v>13100</v>
      </c>
      <c r="F183" s="161">
        <v>13200</v>
      </c>
    </row>
    <row r="184" spans="2:6" ht="15.75" customHeight="1" thickBot="1" x14ac:dyDescent="0.3">
      <c r="B184" s="62" t="s">
        <v>21</v>
      </c>
      <c r="C184" s="161">
        <f>C183/C182</f>
        <v>18.600000000000001</v>
      </c>
      <c r="D184" s="161">
        <f>D183/D182</f>
        <v>16.3</v>
      </c>
      <c r="E184" s="161">
        <f>E183/E182</f>
        <v>14.555555555555555</v>
      </c>
      <c r="F184" s="161">
        <f>F183/F182</f>
        <v>13.2</v>
      </c>
    </row>
    <row r="185" spans="2:6" ht="15.75" customHeight="1" thickBot="1" x14ac:dyDescent="0.3">
      <c r="B185" s="62" t="s">
        <v>22</v>
      </c>
      <c r="C185" s="145"/>
      <c r="D185" s="162">
        <f>D182/C182-1</f>
        <v>0.14285714285714279</v>
      </c>
      <c r="E185" s="162">
        <f>E182/D182-1</f>
        <v>0.125</v>
      </c>
      <c r="F185" s="162">
        <f>F182/E182-1</f>
        <v>0.11111111111111116</v>
      </c>
    </row>
    <row r="186" spans="2:6" ht="15.75" customHeight="1" thickBot="1" x14ac:dyDescent="0.3">
      <c r="B186" s="62" t="s">
        <v>24</v>
      </c>
      <c r="C186" s="145"/>
      <c r="D186" s="162">
        <f>D183/C183-1</f>
        <v>1.536098310291889E-3</v>
      </c>
      <c r="E186" s="162">
        <f t="shared" ref="E186:F187" si="33">E183/D183-1</f>
        <v>4.6012269938651151E-3</v>
      </c>
      <c r="F186" s="162">
        <f t="shared" si="33"/>
        <v>7.6335877862594437E-3</v>
      </c>
    </row>
    <row r="187" spans="2:6" ht="15.75" customHeight="1" thickBot="1" x14ac:dyDescent="0.3">
      <c r="B187" s="62" t="s">
        <v>25</v>
      </c>
      <c r="C187" s="145"/>
      <c r="D187" s="162">
        <f>D184/C184-1</f>
        <v>-0.12365591397849462</v>
      </c>
      <c r="E187" s="162">
        <f t="shared" si="33"/>
        <v>-0.1070211315610089</v>
      </c>
      <c r="F187" s="162">
        <f t="shared" si="33"/>
        <v>-9.3129770992366412E-2</v>
      </c>
    </row>
    <row r="188" spans="2:6" ht="15.75" customHeight="1" thickBot="1" x14ac:dyDescent="0.3">
      <c r="B188" s="1000" t="s">
        <v>784</v>
      </c>
      <c r="C188" s="1001"/>
      <c r="D188" s="1001"/>
      <c r="E188" s="1001"/>
      <c r="F188" s="1002"/>
    </row>
    <row r="189" spans="2:6" ht="15.75" customHeight="1" x14ac:dyDescent="0.25">
      <c r="B189" s="998"/>
      <c r="C189" s="63">
        <v>2018</v>
      </c>
      <c r="D189" s="63">
        <v>2019</v>
      </c>
      <c r="E189" s="63">
        <v>2020</v>
      </c>
      <c r="F189" s="63">
        <v>2021</v>
      </c>
    </row>
    <row r="190" spans="2:6" ht="15.75" customHeight="1" thickBot="1" x14ac:dyDescent="0.3">
      <c r="B190" s="999"/>
      <c r="C190" s="64" t="s">
        <v>10</v>
      </c>
      <c r="D190" s="64" t="s">
        <v>11</v>
      </c>
      <c r="E190" s="64" t="s">
        <v>11</v>
      </c>
      <c r="F190" s="64" t="s">
        <v>11</v>
      </c>
    </row>
    <row r="191" spans="2:6" ht="19.5" customHeight="1" thickBot="1" x14ac:dyDescent="0.3">
      <c r="B191" s="65" t="s">
        <v>26</v>
      </c>
      <c r="C191" s="164">
        <v>8100</v>
      </c>
      <c r="D191" s="164">
        <v>8100</v>
      </c>
      <c r="E191" s="164">
        <v>8100</v>
      </c>
      <c r="F191" s="164">
        <v>8100</v>
      </c>
    </row>
    <row r="192" spans="2:6" ht="33.75" customHeight="1" thickBot="1" x14ac:dyDescent="0.3">
      <c r="B192" s="181" t="s">
        <v>27</v>
      </c>
      <c r="C192" s="165"/>
      <c r="D192" s="331">
        <f>C191*1.03</f>
        <v>8343</v>
      </c>
      <c r="E192" s="331">
        <f>D191*1.03</f>
        <v>8343</v>
      </c>
      <c r="F192" s="331">
        <f>E191*1.03</f>
        <v>8343</v>
      </c>
    </row>
    <row r="193" spans="2:6" ht="30.75" customHeight="1" thickBot="1" x14ac:dyDescent="0.3">
      <c r="B193" s="181" t="s">
        <v>817</v>
      </c>
      <c r="C193" s="165"/>
      <c r="D193" s="331">
        <f>C191*1.035</f>
        <v>8383.5</v>
      </c>
      <c r="E193" s="331">
        <f t="shared" ref="E193:F193" si="34">D191*1.035</f>
        <v>8383.5</v>
      </c>
      <c r="F193" s="331">
        <f t="shared" si="34"/>
        <v>8383.5</v>
      </c>
    </row>
    <row r="194" spans="2:6" ht="25.5" customHeight="1" thickBot="1" x14ac:dyDescent="0.3">
      <c r="B194" s="65" t="s">
        <v>28</v>
      </c>
      <c r="C194" s="164">
        <v>1320</v>
      </c>
      <c r="D194" s="332">
        <v>1320</v>
      </c>
      <c r="E194" s="332">
        <v>1320</v>
      </c>
      <c r="F194" s="332">
        <v>1320</v>
      </c>
    </row>
    <row r="195" spans="2:6" ht="33" customHeight="1" thickBot="1" x14ac:dyDescent="0.3">
      <c r="B195" s="181" t="s">
        <v>29</v>
      </c>
      <c r="C195" s="165"/>
      <c r="D195" s="332">
        <f>C194*1.03</f>
        <v>1359.6000000000001</v>
      </c>
      <c r="E195" s="332">
        <f t="shared" ref="E195:F195" si="35">D194*1.03</f>
        <v>1359.6000000000001</v>
      </c>
      <c r="F195" s="332">
        <f t="shared" si="35"/>
        <v>1359.6000000000001</v>
      </c>
    </row>
    <row r="196" spans="2:6" ht="30" customHeight="1" thickBot="1" x14ac:dyDescent="0.3">
      <c r="B196" s="181" t="s">
        <v>818</v>
      </c>
      <c r="C196" s="165"/>
      <c r="D196" s="332">
        <f>C194*1.035</f>
        <v>1366.1999999999998</v>
      </c>
      <c r="E196" s="332">
        <f t="shared" ref="E196:F196" si="36">D194*1.035</f>
        <v>1366.1999999999998</v>
      </c>
      <c r="F196" s="332">
        <f t="shared" si="36"/>
        <v>1366.1999999999998</v>
      </c>
    </row>
    <row r="197" spans="2:6" ht="25.5" customHeight="1" thickBot="1" x14ac:dyDescent="0.3">
      <c r="B197" s="65" t="s">
        <v>30</v>
      </c>
      <c r="C197" s="165">
        <v>3532</v>
      </c>
      <c r="D197" s="332">
        <v>3552</v>
      </c>
      <c r="E197" s="332">
        <v>3612</v>
      </c>
      <c r="F197" s="332">
        <v>3712</v>
      </c>
    </row>
    <row r="198" spans="2:6" ht="29.25" customHeight="1" thickBot="1" x14ac:dyDescent="0.3">
      <c r="B198" s="181" t="s">
        <v>31</v>
      </c>
      <c r="C198" s="165"/>
      <c r="D198" s="332">
        <f>C197*1.03</f>
        <v>3637.96</v>
      </c>
      <c r="E198" s="332">
        <f>D197*1.03</f>
        <v>3658.56</v>
      </c>
      <c r="F198" s="332">
        <f>E197*1.03</f>
        <v>3720.36</v>
      </c>
    </row>
    <row r="199" spans="2:6" ht="36.75" customHeight="1" thickBot="1" x14ac:dyDescent="0.3">
      <c r="B199" s="181" t="s">
        <v>819</v>
      </c>
      <c r="C199" s="165"/>
      <c r="D199" s="332">
        <f>D198*1.035</f>
        <v>3765.2885999999999</v>
      </c>
      <c r="E199" s="332">
        <f>E198*1.035</f>
        <v>3786.6095999999998</v>
      </c>
      <c r="F199" s="332">
        <f>F198*1.035</f>
        <v>3850.5726</v>
      </c>
    </row>
    <row r="200" spans="2:6" ht="27" customHeight="1" thickBot="1" x14ac:dyDescent="0.3">
      <c r="B200" s="65" t="s">
        <v>36</v>
      </c>
      <c r="C200" s="165">
        <v>20</v>
      </c>
      <c r="D200" s="333">
        <v>20</v>
      </c>
      <c r="E200" s="333">
        <v>20</v>
      </c>
      <c r="F200" s="333">
        <v>20</v>
      </c>
    </row>
    <row r="201" spans="2:6" ht="34.5" customHeight="1" thickBot="1" x14ac:dyDescent="0.3">
      <c r="B201" s="181" t="s">
        <v>37</v>
      </c>
      <c r="C201" s="165"/>
      <c r="D201" s="332">
        <f>C200*1.03</f>
        <v>20.6</v>
      </c>
      <c r="E201" s="332">
        <f t="shared" ref="E201:F201" si="37">D200*1.03</f>
        <v>20.6</v>
      </c>
      <c r="F201" s="332">
        <f t="shared" si="37"/>
        <v>20.6</v>
      </c>
    </row>
    <row r="202" spans="2:6" ht="31.5" customHeight="1" thickBot="1" x14ac:dyDescent="0.3">
      <c r="B202" s="181" t="s">
        <v>822</v>
      </c>
      <c r="C202" s="165"/>
      <c r="D202" s="332">
        <f>C200*1.035</f>
        <v>20.7</v>
      </c>
      <c r="E202" s="332">
        <f t="shared" ref="E202:F202" si="38">D200*1.035</f>
        <v>20.7</v>
      </c>
      <c r="F202" s="332">
        <f t="shared" si="38"/>
        <v>20.7</v>
      </c>
    </row>
    <row r="203" spans="2:6" ht="24.75" customHeight="1" thickBot="1" x14ac:dyDescent="0.3">
      <c r="B203" s="65" t="s">
        <v>38</v>
      </c>
      <c r="C203" s="165">
        <v>48</v>
      </c>
      <c r="D203" s="333">
        <v>48</v>
      </c>
      <c r="E203" s="333">
        <v>48</v>
      </c>
      <c r="F203" s="333">
        <v>48</v>
      </c>
    </row>
    <row r="204" spans="2:6" ht="38.25" customHeight="1" thickBot="1" x14ac:dyDescent="0.3">
      <c r="B204" s="181" t="s">
        <v>39</v>
      </c>
      <c r="C204" s="165"/>
      <c r="D204" s="332">
        <f>C203*1.03</f>
        <v>49.44</v>
      </c>
      <c r="E204" s="332">
        <f>D203*1.03</f>
        <v>49.44</v>
      </c>
      <c r="F204" s="332">
        <f>E203*1.03</f>
        <v>49.44</v>
      </c>
    </row>
    <row r="205" spans="2:6" ht="32.25" customHeight="1" x14ac:dyDescent="0.25">
      <c r="B205" s="335" t="s">
        <v>823</v>
      </c>
      <c r="C205" s="339"/>
      <c r="D205" s="336">
        <f>C203*1.035</f>
        <v>49.679999999999993</v>
      </c>
      <c r="E205" s="336">
        <f t="shared" ref="E205:F205" si="39">D203*1.035</f>
        <v>49.679999999999993</v>
      </c>
      <c r="F205" s="336">
        <f t="shared" si="39"/>
        <v>49.679999999999993</v>
      </c>
    </row>
    <row r="206" spans="2:6" ht="15.75" customHeight="1" thickBot="1" x14ac:dyDescent="0.3">
      <c r="B206" s="337" t="s">
        <v>43</v>
      </c>
      <c r="C206" s="338">
        <f>C203+C200+C197+C194+C191</f>
        <v>13020</v>
      </c>
      <c r="D206" s="340">
        <f>D203+D200+D197+D194+D191</f>
        <v>13040</v>
      </c>
      <c r="E206" s="340">
        <f>E203+E200+E197+E194+E191</f>
        <v>13100</v>
      </c>
      <c r="F206" s="340">
        <f>F203+F200+F197+F194+F191</f>
        <v>13200</v>
      </c>
    </row>
    <row r="207" spans="2:6" ht="15.75" customHeight="1" x14ac:dyDescent="0.25">
      <c r="B207" s="1015" t="s">
        <v>562</v>
      </c>
      <c r="C207" s="1077" t="s">
        <v>558</v>
      </c>
      <c r="D207" s="1078"/>
      <c r="E207" s="1078"/>
      <c r="F207" s="1079"/>
    </row>
    <row r="208" spans="2:6" ht="15.75" customHeight="1" x14ac:dyDescent="0.25">
      <c r="B208" s="1016"/>
      <c r="C208" s="1080"/>
      <c r="D208" s="1081"/>
      <c r="E208" s="1081"/>
      <c r="F208" s="1082"/>
    </row>
    <row r="209" spans="2:6" ht="15.75" customHeight="1" thickBot="1" x14ac:dyDescent="0.3">
      <c r="B209" s="1017"/>
      <c r="C209" s="1083"/>
      <c r="D209" s="1084"/>
      <c r="E209" s="1084"/>
      <c r="F209" s="1085"/>
    </row>
    <row r="210" spans="2:6" ht="15.75" customHeight="1" thickBot="1" x14ac:dyDescent="0.3">
      <c r="B210" s="166" t="s">
        <v>41</v>
      </c>
      <c r="C210" s="167">
        <f>IF(C206-C183=0,0,"Error")</f>
        <v>0</v>
      </c>
      <c r="D210" s="167">
        <f>IF(D206-D183=0,0,"Error")</f>
        <v>0</v>
      </c>
      <c r="E210" s="167">
        <v>0</v>
      </c>
      <c r="F210" s="167">
        <f>IF(F206-F183=0,0,"Error")</f>
        <v>0</v>
      </c>
    </row>
    <row r="211" spans="2:6" ht="15.75" thickBot="1" x14ac:dyDescent="0.3">
      <c r="B211" s="989" t="s">
        <v>55</v>
      </c>
      <c r="C211" s="990"/>
      <c r="D211" s="990"/>
      <c r="E211" s="990"/>
      <c r="F211" s="991"/>
    </row>
    <row r="212" spans="2:6" ht="15.75" thickBot="1" x14ac:dyDescent="0.3">
      <c r="B212" s="989" t="s">
        <v>56</v>
      </c>
      <c r="C212" s="990"/>
      <c r="D212" s="990"/>
      <c r="E212" s="990"/>
      <c r="F212" s="991"/>
    </row>
    <row r="213" spans="2:6" ht="15.75" thickBot="1" x14ac:dyDescent="0.3">
      <c r="B213" s="67" t="s">
        <v>61</v>
      </c>
      <c r="C213" s="992" t="s">
        <v>563</v>
      </c>
      <c r="D213" s="993"/>
      <c r="E213" s="993"/>
      <c r="F213" s="994"/>
    </row>
    <row r="214" spans="2:6" ht="15.75" customHeight="1" thickBot="1" x14ac:dyDescent="0.3">
      <c r="B214" s="160" t="s">
        <v>149</v>
      </c>
      <c r="C214" s="992" t="s">
        <v>564</v>
      </c>
      <c r="D214" s="993"/>
      <c r="E214" s="993"/>
      <c r="F214" s="994"/>
    </row>
    <row r="215" spans="2:6" ht="69.75" customHeight="1" thickBot="1" x14ac:dyDescent="0.3">
      <c r="B215" s="62" t="s">
        <v>17</v>
      </c>
      <c r="C215" s="983" t="s">
        <v>565</v>
      </c>
      <c r="D215" s="984"/>
      <c r="E215" s="984"/>
      <c r="F215" s="985"/>
    </row>
    <row r="216" spans="2:6" ht="15.75" thickBot="1" x14ac:dyDescent="0.3">
      <c r="B216" s="62" t="s">
        <v>18</v>
      </c>
      <c r="C216" s="995" t="s">
        <v>111</v>
      </c>
      <c r="D216" s="996"/>
      <c r="E216" s="996"/>
      <c r="F216" s="997"/>
    </row>
    <row r="217" spans="2:6" x14ac:dyDescent="0.25">
      <c r="B217" s="998"/>
      <c r="C217" s="63">
        <v>2018</v>
      </c>
      <c r="D217" s="63">
        <v>2019</v>
      </c>
      <c r="E217" s="63">
        <v>2020</v>
      </c>
      <c r="F217" s="63">
        <v>2021</v>
      </c>
    </row>
    <row r="218" spans="2:6" ht="15.75" thickBot="1" x14ac:dyDescent="0.3">
      <c r="B218" s="999"/>
      <c r="C218" s="64" t="s">
        <v>10</v>
      </c>
      <c r="D218" s="64" t="s">
        <v>11</v>
      </c>
      <c r="E218" s="64" t="s">
        <v>11</v>
      </c>
      <c r="F218" s="64" t="s">
        <v>11</v>
      </c>
    </row>
    <row r="219" spans="2:6" ht="15.75" thickBot="1" x14ac:dyDescent="0.3">
      <c r="B219" s="62" t="s">
        <v>19</v>
      </c>
      <c r="C219" s="161">
        <v>128</v>
      </c>
      <c r="D219" s="161">
        <v>140</v>
      </c>
      <c r="E219" s="161">
        <v>150</v>
      </c>
      <c r="F219" s="161">
        <v>170</v>
      </c>
    </row>
    <row r="220" spans="2:6" ht="15.75" thickBot="1" x14ac:dyDescent="0.3">
      <c r="B220" s="62" t="s">
        <v>20</v>
      </c>
      <c r="C220" s="161">
        <v>800</v>
      </c>
      <c r="D220" s="161">
        <v>200</v>
      </c>
      <c r="E220" s="161">
        <v>200</v>
      </c>
      <c r="F220" s="161">
        <v>200</v>
      </c>
    </row>
    <row r="221" spans="2:6" ht="15.75" thickBot="1" x14ac:dyDescent="0.3">
      <c r="B221" s="62" t="s">
        <v>21</v>
      </c>
      <c r="C221" s="161">
        <f>C220/C219</f>
        <v>6.25</v>
      </c>
      <c r="D221" s="161">
        <f t="shared" ref="D221:F221" si="40">D220/D219</f>
        <v>1.4285714285714286</v>
      </c>
      <c r="E221" s="161">
        <f t="shared" si="40"/>
        <v>1.3333333333333333</v>
      </c>
      <c r="F221" s="161">
        <f t="shared" si="40"/>
        <v>1.1764705882352942</v>
      </c>
    </row>
    <row r="222" spans="2:6" ht="15.75" thickBot="1" x14ac:dyDescent="0.3">
      <c r="B222" s="62" t="s">
        <v>22</v>
      </c>
      <c r="C222" s="145" t="s">
        <v>23</v>
      </c>
      <c r="D222" s="162">
        <f>D219/C219-1</f>
        <v>9.375E-2</v>
      </c>
      <c r="E222" s="162">
        <f t="shared" ref="E222:F224" si="41">E219/D219-1</f>
        <v>7.1428571428571397E-2</v>
      </c>
      <c r="F222" s="162">
        <f t="shared" si="41"/>
        <v>0.1333333333333333</v>
      </c>
    </row>
    <row r="223" spans="2:6" ht="15.75" thickBot="1" x14ac:dyDescent="0.3">
      <c r="B223" s="62" t="s">
        <v>24</v>
      </c>
      <c r="C223" s="145" t="s">
        <v>23</v>
      </c>
      <c r="D223" s="162">
        <f>D220/C220-1</f>
        <v>-0.75</v>
      </c>
      <c r="E223" s="162">
        <f t="shared" si="41"/>
        <v>0</v>
      </c>
      <c r="F223" s="162">
        <f t="shared" si="41"/>
        <v>0</v>
      </c>
    </row>
    <row r="224" spans="2:6" ht="15.75" customHeight="1" thickBot="1" x14ac:dyDescent="0.3">
      <c r="B224" s="62" t="s">
        <v>25</v>
      </c>
      <c r="C224" s="145" t="s">
        <v>23</v>
      </c>
      <c r="D224" s="162">
        <f>D221/C221-1</f>
        <v>-0.77142857142857146</v>
      </c>
      <c r="E224" s="162">
        <f t="shared" si="41"/>
        <v>-6.6666666666666763E-2</v>
      </c>
      <c r="F224" s="162">
        <f t="shared" si="41"/>
        <v>-0.11764705882352933</v>
      </c>
    </row>
    <row r="225" spans="2:6" ht="15.75" thickBot="1" x14ac:dyDescent="0.3">
      <c r="B225" s="1000" t="s">
        <v>794</v>
      </c>
      <c r="C225" s="1001"/>
      <c r="D225" s="1001"/>
      <c r="E225" s="1001"/>
      <c r="F225" s="1002"/>
    </row>
    <row r="226" spans="2:6" x14ac:dyDescent="0.25">
      <c r="B226" s="998"/>
      <c r="C226" s="63">
        <v>2018</v>
      </c>
      <c r="D226" s="63">
        <v>2019</v>
      </c>
      <c r="E226" s="63">
        <v>2020</v>
      </c>
      <c r="F226" s="63">
        <v>2021</v>
      </c>
    </row>
    <row r="227" spans="2:6" ht="15.75" thickBot="1" x14ac:dyDescent="0.3">
      <c r="B227" s="999"/>
      <c r="C227" s="64" t="s">
        <v>10</v>
      </c>
      <c r="D227" s="64" t="s">
        <v>11</v>
      </c>
      <c r="E227" s="64" t="s">
        <v>11</v>
      </c>
      <c r="F227" s="64" t="s">
        <v>11</v>
      </c>
    </row>
    <row r="228" spans="2:6" ht="15.75" thickBot="1" x14ac:dyDescent="0.3">
      <c r="B228" s="65" t="s">
        <v>58</v>
      </c>
      <c r="C228" s="164"/>
      <c r="D228" s="164"/>
      <c r="E228" s="164"/>
      <c r="F228" s="164"/>
    </row>
    <row r="229" spans="2:6" ht="15.75" thickBot="1" x14ac:dyDescent="0.3">
      <c r="B229" s="65" t="s">
        <v>59</v>
      </c>
      <c r="C229" s="165">
        <v>800</v>
      </c>
      <c r="D229" s="165">
        <v>200</v>
      </c>
      <c r="E229" s="165">
        <v>200</v>
      </c>
      <c r="F229" s="165">
        <v>200</v>
      </c>
    </row>
    <row r="230" spans="2:6" ht="15" customHeight="1" thickBot="1" x14ac:dyDescent="0.3">
      <c r="B230" s="66" t="s">
        <v>40</v>
      </c>
      <c r="C230" s="165">
        <f>C229+C228</f>
        <v>800</v>
      </c>
      <c r="D230" s="165">
        <f t="shared" ref="D230:F230" si="42">D229+D228</f>
        <v>200</v>
      </c>
      <c r="E230" s="165">
        <f t="shared" si="42"/>
        <v>200</v>
      </c>
      <c r="F230" s="165">
        <f t="shared" si="42"/>
        <v>200</v>
      </c>
    </row>
    <row r="231" spans="2:6" ht="12.75" customHeight="1" x14ac:dyDescent="0.25">
      <c r="B231" s="1015" t="s">
        <v>62</v>
      </c>
      <c r="C231" s="1036"/>
      <c r="D231" s="1037"/>
      <c r="E231" s="1037"/>
      <c r="F231" s="1038"/>
    </row>
    <row r="232" spans="2:6" ht="13.5" customHeight="1" x14ac:dyDescent="0.25">
      <c r="B232" s="1016"/>
      <c r="C232" s="1039"/>
      <c r="D232" s="1040"/>
      <c r="E232" s="1040"/>
      <c r="F232" s="1041"/>
    </row>
    <row r="233" spans="2:6" ht="15.75" thickBot="1" x14ac:dyDescent="0.3">
      <c r="B233" s="1017"/>
      <c r="C233" s="1042"/>
      <c r="D233" s="1043"/>
      <c r="E233" s="1043"/>
      <c r="F233" s="1044"/>
    </row>
    <row r="234" spans="2:6" ht="15.75" thickBot="1" x14ac:dyDescent="0.3">
      <c r="B234" s="67" t="s">
        <v>61</v>
      </c>
      <c r="C234" s="992" t="s">
        <v>563</v>
      </c>
      <c r="D234" s="993"/>
      <c r="E234" s="993"/>
      <c r="F234" s="994"/>
    </row>
    <row r="235" spans="2:6" ht="15.75" thickBot="1" x14ac:dyDescent="0.3">
      <c r="B235" s="160" t="s">
        <v>125</v>
      </c>
      <c r="C235" s="992" t="s">
        <v>566</v>
      </c>
      <c r="D235" s="993"/>
      <c r="E235" s="993"/>
      <c r="F235" s="994"/>
    </row>
    <row r="236" spans="2:6" ht="66" customHeight="1" thickBot="1" x14ac:dyDescent="0.3">
      <c r="B236" s="62" t="s">
        <v>17</v>
      </c>
      <c r="C236" s="983" t="s">
        <v>567</v>
      </c>
      <c r="D236" s="984"/>
      <c r="E236" s="984"/>
      <c r="F236" s="985"/>
    </row>
    <row r="237" spans="2:6" ht="15.75" thickBot="1" x14ac:dyDescent="0.3">
      <c r="B237" s="62" t="s">
        <v>18</v>
      </c>
      <c r="C237" s="995" t="s">
        <v>561</v>
      </c>
      <c r="D237" s="996"/>
      <c r="E237" s="996"/>
      <c r="F237" s="997"/>
    </row>
    <row r="238" spans="2:6" x14ac:dyDescent="0.25">
      <c r="B238" s="998"/>
      <c r="C238" s="63">
        <v>2018</v>
      </c>
      <c r="D238" s="63">
        <v>2019</v>
      </c>
      <c r="E238" s="63">
        <v>2020</v>
      </c>
      <c r="F238" s="63">
        <v>2021</v>
      </c>
    </row>
    <row r="239" spans="2:6" ht="15.75" thickBot="1" x14ac:dyDescent="0.3">
      <c r="B239" s="999"/>
      <c r="C239" s="64" t="s">
        <v>10</v>
      </c>
      <c r="D239" s="64" t="s">
        <v>11</v>
      </c>
      <c r="E239" s="64" t="s">
        <v>11</v>
      </c>
      <c r="F239" s="64" t="s">
        <v>11</v>
      </c>
    </row>
    <row r="240" spans="2:6" ht="15.75" thickBot="1" x14ac:dyDescent="0.3">
      <c r="B240" s="62" t="s">
        <v>19</v>
      </c>
      <c r="C240" s="161">
        <v>700</v>
      </c>
      <c r="D240" s="161">
        <v>800</v>
      </c>
      <c r="E240" s="161">
        <v>900</v>
      </c>
      <c r="F240" s="161">
        <v>1000</v>
      </c>
    </row>
    <row r="241" spans="2:6" ht="15.75" thickBot="1" x14ac:dyDescent="0.3">
      <c r="B241" s="62" t="s">
        <v>20</v>
      </c>
      <c r="C241" s="161">
        <v>800</v>
      </c>
      <c r="D241" s="161">
        <v>200</v>
      </c>
      <c r="E241" s="161">
        <v>200</v>
      </c>
      <c r="F241" s="161">
        <v>200</v>
      </c>
    </row>
    <row r="242" spans="2:6" ht="15.75" thickBot="1" x14ac:dyDescent="0.3">
      <c r="B242" s="62" t="s">
        <v>21</v>
      </c>
      <c r="C242" s="161">
        <f>C241/C240</f>
        <v>1.1428571428571428</v>
      </c>
      <c r="D242" s="161">
        <f t="shared" ref="D242:F242" si="43">D241/D240</f>
        <v>0.25</v>
      </c>
      <c r="E242" s="161">
        <f t="shared" si="43"/>
        <v>0.22222222222222221</v>
      </c>
      <c r="F242" s="161">
        <f t="shared" si="43"/>
        <v>0.2</v>
      </c>
    </row>
    <row r="243" spans="2:6" ht="15.75" thickBot="1" x14ac:dyDescent="0.3">
      <c r="B243" s="62" t="s">
        <v>22</v>
      </c>
      <c r="C243" s="145" t="s">
        <v>23</v>
      </c>
      <c r="D243" s="162">
        <f>D240/C240-1</f>
        <v>0.14285714285714279</v>
      </c>
      <c r="E243" s="162">
        <f t="shared" ref="E243:F245" si="44">E240/D240-1</f>
        <v>0.125</v>
      </c>
      <c r="F243" s="162">
        <f t="shared" si="44"/>
        <v>0.11111111111111116</v>
      </c>
    </row>
    <row r="244" spans="2:6" ht="15.75" thickBot="1" x14ac:dyDescent="0.3">
      <c r="B244" s="62" t="s">
        <v>24</v>
      </c>
      <c r="C244" s="145" t="s">
        <v>23</v>
      </c>
      <c r="D244" s="162">
        <f>D241/C241-1</f>
        <v>-0.75</v>
      </c>
      <c r="E244" s="162">
        <f t="shared" si="44"/>
        <v>0</v>
      </c>
      <c r="F244" s="162">
        <f t="shared" si="44"/>
        <v>0</v>
      </c>
    </row>
    <row r="245" spans="2:6" ht="15.75" thickBot="1" x14ac:dyDescent="0.3">
      <c r="B245" s="62" t="s">
        <v>25</v>
      </c>
      <c r="C245" s="145" t="s">
        <v>23</v>
      </c>
      <c r="D245" s="162">
        <f>D242/C242-1</f>
        <v>-0.78125</v>
      </c>
      <c r="E245" s="162">
        <f t="shared" si="44"/>
        <v>-0.11111111111111116</v>
      </c>
      <c r="F245" s="162">
        <f t="shared" si="44"/>
        <v>-9.9999999999999867E-2</v>
      </c>
    </row>
    <row r="246" spans="2:6" ht="15.75" thickBot="1" x14ac:dyDescent="0.3">
      <c r="B246" s="1000" t="s">
        <v>786</v>
      </c>
      <c r="C246" s="1001"/>
      <c r="D246" s="1001"/>
      <c r="E246" s="1001"/>
      <c r="F246" s="1002"/>
    </row>
    <row r="247" spans="2:6" x14ac:dyDescent="0.25">
      <c r="B247" s="998"/>
      <c r="C247" s="63">
        <v>2018</v>
      </c>
      <c r="D247" s="63">
        <v>2019</v>
      </c>
      <c r="E247" s="63">
        <v>2020</v>
      </c>
      <c r="F247" s="63">
        <v>2021</v>
      </c>
    </row>
    <row r="248" spans="2:6" ht="15.75" thickBot="1" x14ac:dyDescent="0.3">
      <c r="B248" s="999"/>
      <c r="C248" s="64" t="s">
        <v>10</v>
      </c>
      <c r="D248" s="64" t="s">
        <v>11</v>
      </c>
      <c r="E248" s="64" t="s">
        <v>11</v>
      </c>
      <c r="F248" s="64" t="s">
        <v>11</v>
      </c>
    </row>
    <row r="249" spans="2:6" ht="15.75" thickBot="1" x14ac:dyDescent="0.3">
      <c r="B249" s="65" t="s">
        <v>58</v>
      </c>
      <c r="C249" s="164"/>
      <c r="D249" s="164"/>
      <c r="E249" s="164"/>
      <c r="F249" s="164"/>
    </row>
    <row r="250" spans="2:6" ht="15.75" thickBot="1" x14ac:dyDescent="0.3">
      <c r="B250" s="65" t="s">
        <v>59</v>
      </c>
      <c r="C250" s="161">
        <v>800</v>
      </c>
      <c r="D250" s="161">
        <v>200</v>
      </c>
      <c r="E250" s="161">
        <v>200</v>
      </c>
      <c r="F250" s="161">
        <v>200</v>
      </c>
    </row>
    <row r="251" spans="2:6" ht="15.75" thickBot="1" x14ac:dyDescent="0.3">
      <c r="B251" s="66" t="s">
        <v>43</v>
      </c>
      <c r="C251" s="165">
        <f>C250+C249</f>
        <v>800</v>
      </c>
      <c r="D251" s="165">
        <f t="shared" ref="D251:F251" si="45">D250+D249</f>
        <v>200</v>
      </c>
      <c r="E251" s="165">
        <f t="shared" si="45"/>
        <v>200</v>
      </c>
      <c r="F251" s="165">
        <f t="shared" si="45"/>
        <v>200</v>
      </c>
    </row>
    <row r="252" spans="2:6" x14ac:dyDescent="0.25">
      <c r="B252" s="1015" t="s">
        <v>62</v>
      </c>
      <c r="C252" s="1036"/>
      <c r="D252" s="1037"/>
      <c r="E252" s="1037"/>
      <c r="F252" s="1038"/>
    </row>
    <row r="253" spans="2:6" x14ac:dyDescent="0.25">
      <c r="B253" s="1016"/>
      <c r="C253" s="1039"/>
      <c r="D253" s="1040"/>
      <c r="E253" s="1040"/>
      <c r="F253" s="1041"/>
    </row>
    <row r="254" spans="2:6" ht="15.75" thickBot="1" x14ac:dyDescent="0.3">
      <c r="B254" s="1017"/>
      <c r="C254" s="1042"/>
      <c r="D254" s="1043"/>
      <c r="E254" s="1043"/>
      <c r="F254" s="1044"/>
    </row>
    <row r="255" spans="2:6" ht="15.75" thickBot="1" x14ac:dyDescent="0.3">
      <c r="B255" s="175"/>
      <c r="C255" s="176"/>
      <c r="D255" s="176"/>
      <c r="E255" s="176"/>
      <c r="F255" s="176"/>
    </row>
    <row r="256" spans="2:6" ht="27" customHeight="1" thickBot="1" x14ac:dyDescent="0.3">
      <c r="B256" s="158" t="s">
        <v>82</v>
      </c>
      <c r="C256" s="177">
        <f>C35+C69+C149+C183</f>
        <v>65100</v>
      </c>
      <c r="D256" s="177">
        <f>D35+D69+D149+D183</f>
        <v>65200</v>
      </c>
      <c r="E256" s="177">
        <f t="shared" ref="E256:F256" si="46">E35+E69+E149+E183</f>
        <v>65500</v>
      </c>
      <c r="F256" s="177">
        <f t="shared" si="46"/>
        <v>66000</v>
      </c>
    </row>
    <row r="257" spans="2:6" ht="30.75" thickBot="1" x14ac:dyDescent="0.3">
      <c r="B257" s="158" t="s">
        <v>83</v>
      </c>
      <c r="C257" s="177">
        <f>C58+C92+C172+C206</f>
        <v>65100</v>
      </c>
      <c r="D257" s="177">
        <f>D58+D92+D172+D206</f>
        <v>65200</v>
      </c>
      <c r="E257" s="177">
        <f t="shared" ref="E257:F257" si="47">E58+E92+E172+E206</f>
        <v>65500</v>
      </c>
      <c r="F257" s="177">
        <f t="shared" si="47"/>
        <v>66000</v>
      </c>
    </row>
    <row r="258" spans="2:6" ht="30.75" thickBot="1" x14ac:dyDescent="0.3">
      <c r="B258" s="178" t="s">
        <v>84</v>
      </c>
      <c r="C258" s="179"/>
      <c r="D258" s="180">
        <f>D257/C257-1</f>
        <v>1.536098310291889E-3</v>
      </c>
      <c r="E258" s="180">
        <f t="shared" ref="E258:F258" si="48">E257/D257-1</f>
        <v>4.6012269938651151E-3</v>
      </c>
      <c r="F258" s="180">
        <f t="shared" si="48"/>
        <v>7.6335877862594437E-3</v>
      </c>
    </row>
    <row r="259" spans="2:6" x14ac:dyDescent="0.25">
      <c r="B259" s="1220" t="s">
        <v>790</v>
      </c>
      <c r="C259" s="1644"/>
      <c r="D259" s="1223"/>
      <c r="E259" s="1223"/>
      <c r="F259" s="1224"/>
    </row>
    <row r="260" spans="2:6" x14ac:dyDescent="0.25">
      <c r="B260" s="1221"/>
      <c r="C260" s="1645"/>
      <c r="D260" s="1225"/>
      <c r="E260" s="1225"/>
      <c r="F260" s="1226"/>
    </row>
    <row r="261" spans="2:6" ht="15.75" thickBot="1" x14ac:dyDescent="0.3">
      <c r="B261" s="1222"/>
      <c r="C261" s="1646"/>
      <c r="D261" s="1227"/>
      <c r="E261" s="1227"/>
      <c r="F261" s="1228"/>
    </row>
    <row r="262" spans="2:6" ht="15.75" thickBot="1" x14ac:dyDescent="0.3">
      <c r="B262" s="166" t="s">
        <v>41</v>
      </c>
      <c r="C262" s="167">
        <f>IF(C257-C256=0,0,"Error")</f>
        <v>0</v>
      </c>
      <c r="D262" s="167">
        <f t="shared" ref="D262:F262" si="49">IF(D257-D256=0,0,"Error")</f>
        <v>0</v>
      </c>
      <c r="E262" s="167">
        <v>0</v>
      </c>
      <c r="F262" s="167">
        <f t="shared" si="49"/>
        <v>0</v>
      </c>
    </row>
    <row r="263" spans="2:6" ht="30.75" thickBot="1" x14ac:dyDescent="0.3">
      <c r="B263" s="183" t="s">
        <v>96</v>
      </c>
      <c r="C263" s="164">
        <v>37</v>
      </c>
      <c r="D263" s="164">
        <v>46</v>
      </c>
      <c r="E263" s="164">
        <v>46</v>
      </c>
      <c r="F263" s="164">
        <v>46</v>
      </c>
    </row>
    <row r="264" spans="2:6" ht="30.75" thickBot="1" x14ac:dyDescent="0.3">
      <c r="B264" s="183" t="s">
        <v>97</v>
      </c>
      <c r="C264" s="164">
        <v>6</v>
      </c>
      <c r="D264" s="164">
        <v>6</v>
      </c>
      <c r="E264" s="164">
        <v>6</v>
      </c>
      <c r="F264" s="164">
        <v>6</v>
      </c>
    </row>
    <row r="265" spans="2:6" x14ac:dyDescent="0.25">
      <c r="B265" s="184"/>
      <c r="C265" s="185"/>
      <c r="D265" s="185"/>
      <c r="E265" s="185"/>
      <c r="F265" s="185"/>
    </row>
    <row r="266" spans="2:6" x14ac:dyDescent="0.25">
      <c r="B266" s="184"/>
      <c r="C266" s="185"/>
      <c r="D266" s="185"/>
      <c r="E266" s="185"/>
      <c r="F266" s="185"/>
    </row>
    <row r="267" spans="2:6" x14ac:dyDescent="0.25">
      <c r="B267" s="184"/>
      <c r="C267" s="185"/>
      <c r="D267" s="185"/>
      <c r="E267" s="185"/>
      <c r="F267" s="185"/>
    </row>
    <row r="268" spans="2:6" x14ac:dyDescent="0.25">
      <c r="B268" s="184"/>
      <c r="C268" s="185"/>
      <c r="D268" s="185"/>
      <c r="E268" s="185"/>
      <c r="F268" s="185"/>
    </row>
  </sheetData>
  <mergeCells count="89">
    <mergeCell ref="B22:F22"/>
    <mergeCell ref="C3:F3"/>
    <mergeCell ref="C4:F4"/>
    <mergeCell ref="C5:F5"/>
    <mergeCell ref="B6:F6"/>
    <mergeCell ref="B7:F9"/>
    <mergeCell ref="C10:F10"/>
    <mergeCell ref="B11:B12"/>
    <mergeCell ref="C16:F16"/>
    <mergeCell ref="C17:F17"/>
    <mergeCell ref="B18:F18"/>
    <mergeCell ref="C64:F64"/>
    <mergeCell ref="B27:F27"/>
    <mergeCell ref="B28:F28"/>
    <mergeCell ref="C29:F29"/>
    <mergeCell ref="C30:F30"/>
    <mergeCell ref="C31:F31"/>
    <mergeCell ref="B32:B33"/>
    <mergeCell ref="B40:F40"/>
    <mergeCell ref="B41:B42"/>
    <mergeCell ref="B59:B61"/>
    <mergeCell ref="C59:F61"/>
    <mergeCell ref="C63:F63"/>
    <mergeCell ref="C65:F65"/>
    <mergeCell ref="B66:B67"/>
    <mergeCell ref="B74:F74"/>
    <mergeCell ref="B75:B76"/>
    <mergeCell ref="B93:B95"/>
    <mergeCell ref="C93:F95"/>
    <mergeCell ref="C120:F120"/>
    <mergeCell ref="B97:F97"/>
    <mergeCell ref="B98:F98"/>
    <mergeCell ref="C99:F99"/>
    <mergeCell ref="C100:F100"/>
    <mergeCell ref="C101:F101"/>
    <mergeCell ref="C102:F102"/>
    <mergeCell ref="B103:B104"/>
    <mergeCell ref="B111:F111"/>
    <mergeCell ref="B112:B113"/>
    <mergeCell ref="B117:B119"/>
    <mergeCell ref="C117:F119"/>
    <mergeCell ref="C144:F144"/>
    <mergeCell ref="C121:F121"/>
    <mergeCell ref="C122:F122"/>
    <mergeCell ref="C123:F123"/>
    <mergeCell ref="B124:B125"/>
    <mergeCell ref="B132:F132"/>
    <mergeCell ref="B133:B134"/>
    <mergeCell ref="B138:B140"/>
    <mergeCell ref="C138:F140"/>
    <mergeCell ref="B141:F141"/>
    <mergeCell ref="B142:F142"/>
    <mergeCell ref="C143:F143"/>
    <mergeCell ref="B189:B190"/>
    <mergeCell ref="C145:F145"/>
    <mergeCell ref="B146:B147"/>
    <mergeCell ref="B154:F154"/>
    <mergeCell ref="B155:B156"/>
    <mergeCell ref="B173:B175"/>
    <mergeCell ref="C173:F175"/>
    <mergeCell ref="C177:F177"/>
    <mergeCell ref="C178:F178"/>
    <mergeCell ref="C179:F179"/>
    <mergeCell ref="B180:B181"/>
    <mergeCell ref="B188:F188"/>
    <mergeCell ref="B231:B233"/>
    <mergeCell ref="C231:F233"/>
    <mergeCell ref="B207:B209"/>
    <mergeCell ref="C207:F209"/>
    <mergeCell ref="B211:F211"/>
    <mergeCell ref="B212:F212"/>
    <mergeCell ref="C213:F213"/>
    <mergeCell ref="C214:F214"/>
    <mergeCell ref="C215:F215"/>
    <mergeCell ref="C216:F216"/>
    <mergeCell ref="B217:B218"/>
    <mergeCell ref="B225:F225"/>
    <mergeCell ref="B226:B227"/>
    <mergeCell ref="B246:F246"/>
    <mergeCell ref="B247:B248"/>
    <mergeCell ref="B252:B254"/>
    <mergeCell ref="C252:F254"/>
    <mergeCell ref="B259:B261"/>
    <mergeCell ref="C259:F261"/>
    <mergeCell ref="C234:F234"/>
    <mergeCell ref="C235:F235"/>
    <mergeCell ref="C236:F236"/>
    <mergeCell ref="C237:F237"/>
    <mergeCell ref="B238:B239"/>
  </mergeCells>
  <pageMargins left="0.7" right="0.7" top="0.75" bottom="0.75" header="0.3" footer="0.3"/>
  <pageSetup orientation="landscape" r:id="rId1"/>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97"/>
  <sheetViews>
    <sheetView topLeftCell="A84" zoomScale="110" zoomScaleNormal="110" workbookViewId="0">
      <selection activeCell="K84" sqref="K84"/>
    </sheetView>
  </sheetViews>
  <sheetFormatPr defaultRowHeight="15" x14ac:dyDescent="0.25"/>
  <cols>
    <col min="1" max="1" width="9.140625" style="152"/>
    <col min="2" max="6" width="21.42578125" customWidth="1"/>
    <col min="7" max="7" width="11.7109375" customWidth="1"/>
    <col min="8" max="8" width="18.42578125" customWidth="1"/>
    <col min="9" max="9" width="11" customWidth="1"/>
    <col min="10" max="10" width="11" bestFit="1" customWidth="1"/>
    <col min="256" max="256" width="11" customWidth="1"/>
    <col min="257" max="257" width="12" customWidth="1"/>
    <col min="258" max="262" width="21.42578125" customWidth="1"/>
    <col min="264" max="264" width="18.42578125" customWidth="1"/>
    <col min="265" max="265" width="11" customWidth="1"/>
    <col min="266" max="266" width="11" bestFit="1" customWidth="1"/>
    <col min="512" max="512" width="11" customWidth="1"/>
    <col min="513" max="513" width="12" customWidth="1"/>
    <col min="514" max="518" width="21.42578125" customWidth="1"/>
    <col min="520" max="520" width="18.42578125" customWidth="1"/>
    <col min="521" max="521" width="11" customWidth="1"/>
    <col min="522" max="522" width="11" bestFit="1" customWidth="1"/>
    <col min="768" max="768" width="11" customWidth="1"/>
    <col min="769" max="769" width="12" customWidth="1"/>
    <col min="770" max="774" width="21.42578125" customWidth="1"/>
    <col min="776" max="776" width="18.42578125" customWidth="1"/>
    <col min="777" max="777" width="11" customWidth="1"/>
    <col min="778" max="778" width="11" bestFit="1" customWidth="1"/>
    <col min="1024" max="1024" width="11" customWidth="1"/>
    <col min="1025" max="1025" width="12" customWidth="1"/>
    <col min="1026" max="1030" width="21.42578125" customWidth="1"/>
    <col min="1032" max="1032" width="18.42578125" customWidth="1"/>
    <col min="1033" max="1033" width="11" customWidth="1"/>
    <col min="1034" max="1034" width="11" bestFit="1" customWidth="1"/>
    <col min="1280" max="1280" width="11" customWidth="1"/>
    <col min="1281" max="1281" width="12" customWidth="1"/>
    <col min="1282" max="1286" width="21.42578125" customWidth="1"/>
    <col min="1288" max="1288" width="18.42578125" customWidth="1"/>
    <col min="1289" max="1289" width="11" customWidth="1"/>
    <col min="1290" max="1290" width="11" bestFit="1" customWidth="1"/>
    <col min="1536" max="1536" width="11" customWidth="1"/>
    <col min="1537" max="1537" width="12" customWidth="1"/>
    <col min="1538" max="1542" width="21.42578125" customWidth="1"/>
    <col min="1544" max="1544" width="18.42578125" customWidth="1"/>
    <col min="1545" max="1545" width="11" customWidth="1"/>
    <col min="1546" max="1546" width="11" bestFit="1" customWidth="1"/>
    <col min="1792" max="1792" width="11" customWidth="1"/>
    <col min="1793" max="1793" width="12" customWidth="1"/>
    <col min="1794" max="1798" width="21.42578125" customWidth="1"/>
    <col min="1800" max="1800" width="18.42578125" customWidth="1"/>
    <col min="1801" max="1801" width="11" customWidth="1"/>
    <col min="1802" max="1802" width="11" bestFit="1" customWidth="1"/>
    <col min="2048" max="2048" width="11" customWidth="1"/>
    <col min="2049" max="2049" width="12" customWidth="1"/>
    <col min="2050" max="2054" width="21.42578125" customWidth="1"/>
    <col min="2056" max="2056" width="18.42578125" customWidth="1"/>
    <col min="2057" max="2057" width="11" customWidth="1"/>
    <col min="2058" max="2058" width="11" bestFit="1" customWidth="1"/>
    <col min="2304" max="2304" width="11" customWidth="1"/>
    <col min="2305" max="2305" width="12" customWidth="1"/>
    <col min="2306" max="2310" width="21.42578125" customWidth="1"/>
    <col min="2312" max="2312" width="18.42578125" customWidth="1"/>
    <col min="2313" max="2313" width="11" customWidth="1"/>
    <col min="2314" max="2314" width="11" bestFit="1" customWidth="1"/>
    <col min="2560" max="2560" width="11" customWidth="1"/>
    <col min="2561" max="2561" width="12" customWidth="1"/>
    <col min="2562" max="2566" width="21.42578125" customWidth="1"/>
    <col min="2568" max="2568" width="18.42578125" customWidth="1"/>
    <col min="2569" max="2569" width="11" customWidth="1"/>
    <col min="2570" max="2570" width="11" bestFit="1" customWidth="1"/>
    <col min="2816" max="2816" width="11" customWidth="1"/>
    <col min="2817" max="2817" width="12" customWidth="1"/>
    <col min="2818" max="2822" width="21.42578125" customWidth="1"/>
    <col min="2824" max="2824" width="18.42578125" customWidth="1"/>
    <col min="2825" max="2825" width="11" customWidth="1"/>
    <col min="2826" max="2826" width="11" bestFit="1" customWidth="1"/>
    <col min="3072" max="3072" width="11" customWidth="1"/>
    <col min="3073" max="3073" width="12" customWidth="1"/>
    <col min="3074" max="3078" width="21.42578125" customWidth="1"/>
    <col min="3080" max="3080" width="18.42578125" customWidth="1"/>
    <col min="3081" max="3081" width="11" customWidth="1"/>
    <col min="3082" max="3082" width="11" bestFit="1" customWidth="1"/>
    <col min="3328" max="3328" width="11" customWidth="1"/>
    <col min="3329" max="3329" width="12" customWidth="1"/>
    <col min="3330" max="3334" width="21.42578125" customWidth="1"/>
    <col min="3336" max="3336" width="18.42578125" customWidth="1"/>
    <col min="3337" max="3337" width="11" customWidth="1"/>
    <col min="3338" max="3338" width="11" bestFit="1" customWidth="1"/>
    <col min="3584" max="3584" width="11" customWidth="1"/>
    <col min="3585" max="3585" width="12" customWidth="1"/>
    <col min="3586" max="3590" width="21.42578125" customWidth="1"/>
    <col min="3592" max="3592" width="18.42578125" customWidth="1"/>
    <col min="3593" max="3593" width="11" customWidth="1"/>
    <col min="3594" max="3594" width="11" bestFit="1" customWidth="1"/>
    <col min="3840" max="3840" width="11" customWidth="1"/>
    <col min="3841" max="3841" width="12" customWidth="1"/>
    <col min="3842" max="3846" width="21.42578125" customWidth="1"/>
    <col min="3848" max="3848" width="18.42578125" customWidth="1"/>
    <col min="3849" max="3849" width="11" customWidth="1"/>
    <col min="3850" max="3850" width="11" bestFit="1" customWidth="1"/>
    <col min="4096" max="4096" width="11" customWidth="1"/>
    <col min="4097" max="4097" width="12" customWidth="1"/>
    <col min="4098" max="4102" width="21.42578125" customWidth="1"/>
    <col min="4104" max="4104" width="18.42578125" customWidth="1"/>
    <col min="4105" max="4105" width="11" customWidth="1"/>
    <col min="4106" max="4106" width="11" bestFit="1" customWidth="1"/>
    <col min="4352" max="4352" width="11" customWidth="1"/>
    <col min="4353" max="4353" width="12" customWidth="1"/>
    <col min="4354" max="4358" width="21.42578125" customWidth="1"/>
    <col min="4360" max="4360" width="18.42578125" customWidth="1"/>
    <col min="4361" max="4361" width="11" customWidth="1"/>
    <col min="4362" max="4362" width="11" bestFit="1" customWidth="1"/>
    <col min="4608" max="4608" width="11" customWidth="1"/>
    <col min="4609" max="4609" width="12" customWidth="1"/>
    <col min="4610" max="4614" width="21.42578125" customWidth="1"/>
    <col min="4616" max="4616" width="18.42578125" customWidth="1"/>
    <col min="4617" max="4617" width="11" customWidth="1"/>
    <col min="4618" max="4618" width="11" bestFit="1" customWidth="1"/>
    <col min="4864" max="4864" width="11" customWidth="1"/>
    <col min="4865" max="4865" width="12" customWidth="1"/>
    <col min="4866" max="4870" width="21.42578125" customWidth="1"/>
    <col min="4872" max="4872" width="18.42578125" customWidth="1"/>
    <col min="4873" max="4873" width="11" customWidth="1"/>
    <col min="4874" max="4874" width="11" bestFit="1" customWidth="1"/>
    <col min="5120" max="5120" width="11" customWidth="1"/>
    <col min="5121" max="5121" width="12" customWidth="1"/>
    <col min="5122" max="5126" width="21.42578125" customWidth="1"/>
    <col min="5128" max="5128" width="18.42578125" customWidth="1"/>
    <col min="5129" max="5129" width="11" customWidth="1"/>
    <col min="5130" max="5130" width="11" bestFit="1" customWidth="1"/>
    <col min="5376" max="5376" width="11" customWidth="1"/>
    <col min="5377" max="5377" width="12" customWidth="1"/>
    <col min="5378" max="5382" width="21.42578125" customWidth="1"/>
    <col min="5384" max="5384" width="18.42578125" customWidth="1"/>
    <col min="5385" max="5385" width="11" customWidth="1"/>
    <col min="5386" max="5386" width="11" bestFit="1" customWidth="1"/>
    <col min="5632" max="5632" width="11" customWidth="1"/>
    <col min="5633" max="5633" width="12" customWidth="1"/>
    <col min="5634" max="5638" width="21.42578125" customWidth="1"/>
    <col min="5640" max="5640" width="18.42578125" customWidth="1"/>
    <col min="5641" max="5641" width="11" customWidth="1"/>
    <col min="5642" max="5642" width="11" bestFit="1" customWidth="1"/>
    <col min="5888" max="5888" width="11" customWidth="1"/>
    <col min="5889" max="5889" width="12" customWidth="1"/>
    <col min="5890" max="5894" width="21.42578125" customWidth="1"/>
    <col min="5896" max="5896" width="18.42578125" customWidth="1"/>
    <col min="5897" max="5897" width="11" customWidth="1"/>
    <col min="5898" max="5898" width="11" bestFit="1" customWidth="1"/>
    <col min="6144" max="6144" width="11" customWidth="1"/>
    <col min="6145" max="6145" width="12" customWidth="1"/>
    <col min="6146" max="6150" width="21.42578125" customWidth="1"/>
    <col min="6152" max="6152" width="18.42578125" customWidth="1"/>
    <col min="6153" max="6153" width="11" customWidth="1"/>
    <col min="6154" max="6154" width="11" bestFit="1" customWidth="1"/>
    <col min="6400" max="6400" width="11" customWidth="1"/>
    <col min="6401" max="6401" width="12" customWidth="1"/>
    <col min="6402" max="6406" width="21.42578125" customWidth="1"/>
    <col min="6408" max="6408" width="18.42578125" customWidth="1"/>
    <col min="6409" max="6409" width="11" customWidth="1"/>
    <col min="6410" max="6410" width="11" bestFit="1" customWidth="1"/>
    <col min="6656" max="6656" width="11" customWidth="1"/>
    <col min="6657" max="6657" width="12" customWidth="1"/>
    <col min="6658" max="6662" width="21.42578125" customWidth="1"/>
    <col min="6664" max="6664" width="18.42578125" customWidth="1"/>
    <col min="6665" max="6665" width="11" customWidth="1"/>
    <col min="6666" max="6666" width="11" bestFit="1" customWidth="1"/>
    <col min="6912" max="6912" width="11" customWidth="1"/>
    <col min="6913" max="6913" width="12" customWidth="1"/>
    <col min="6914" max="6918" width="21.42578125" customWidth="1"/>
    <col min="6920" max="6920" width="18.42578125" customWidth="1"/>
    <col min="6921" max="6921" width="11" customWidth="1"/>
    <col min="6922" max="6922" width="11" bestFit="1" customWidth="1"/>
    <col min="7168" max="7168" width="11" customWidth="1"/>
    <col min="7169" max="7169" width="12" customWidth="1"/>
    <col min="7170" max="7174" width="21.42578125" customWidth="1"/>
    <col min="7176" max="7176" width="18.42578125" customWidth="1"/>
    <col min="7177" max="7177" width="11" customWidth="1"/>
    <col min="7178" max="7178" width="11" bestFit="1" customWidth="1"/>
    <col min="7424" max="7424" width="11" customWidth="1"/>
    <col min="7425" max="7425" width="12" customWidth="1"/>
    <col min="7426" max="7430" width="21.42578125" customWidth="1"/>
    <col min="7432" max="7432" width="18.42578125" customWidth="1"/>
    <col min="7433" max="7433" width="11" customWidth="1"/>
    <col min="7434" max="7434" width="11" bestFit="1" customWidth="1"/>
    <col min="7680" max="7680" width="11" customWidth="1"/>
    <col min="7681" max="7681" width="12" customWidth="1"/>
    <col min="7682" max="7686" width="21.42578125" customWidth="1"/>
    <col min="7688" max="7688" width="18.42578125" customWidth="1"/>
    <col min="7689" max="7689" width="11" customWidth="1"/>
    <col min="7690" max="7690" width="11" bestFit="1" customWidth="1"/>
    <col min="7936" max="7936" width="11" customWidth="1"/>
    <col min="7937" max="7937" width="12" customWidth="1"/>
    <col min="7938" max="7942" width="21.42578125" customWidth="1"/>
    <col min="7944" max="7944" width="18.42578125" customWidth="1"/>
    <col min="7945" max="7945" width="11" customWidth="1"/>
    <col min="7946" max="7946" width="11" bestFit="1" customWidth="1"/>
    <col min="8192" max="8192" width="11" customWidth="1"/>
    <col min="8193" max="8193" width="12" customWidth="1"/>
    <col min="8194" max="8198" width="21.42578125" customWidth="1"/>
    <col min="8200" max="8200" width="18.42578125" customWidth="1"/>
    <col min="8201" max="8201" width="11" customWidth="1"/>
    <col min="8202" max="8202" width="11" bestFit="1" customWidth="1"/>
    <col min="8448" max="8448" width="11" customWidth="1"/>
    <col min="8449" max="8449" width="12" customWidth="1"/>
    <col min="8450" max="8454" width="21.42578125" customWidth="1"/>
    <col min="8456" max="8456" width="18.42578125" customWidth="1"/>
    <col min="8457" max="8457" width="11" customWidth="1"/>
    <col min="8458" max="8458" width="11" bestFit="1" customWidth="1"/>
    <col min="8704" max="8704" width="11" customWidth="1"/>
    <col min="8705" max="8705" width="12" customWidth="1"/>
    <col min="8706" max="8710" width="21.42578125" customWidth="1"/>
    <col min="8712" max="8712" width="18.42578125" customWidth="1"/>
    <col min="8713" max="8713" width="11" customWidth="1"/>
    <col min="8714" max="8714" width="11" bestFit="1" customWidth="1"/>
    <col min="8960" max="8960" width="11" customWidth="1"/>
    <col min="8961" max="8961" width="12" customWidth="1"/>
    <col min="8962" max="8966" width="21.42578125" customWidth="1"/>
    <col min="8968" max="8968" width="18.42578125" customWidth="1"/>
    <col min="8969" max="8969" width="11" customWidth="1"/>
    <col min="8970" max="8970" width="11" bestFit="1" customWidth="1"/>
    <col min="9216" max="9216" width="11" customWidth="1"/>
    <col min="9217" max="9217" width="12" customWidth="1"/>
    <col min="9218" max="9222" width="21.42578125" customWidth="1"/>
    <col min="9224" max="9224" width="18.42578125" customWidth="1"/>
    <col min="9225" max="9225" width="11" customWidth="1"/>
    <col min="9226" max="9226" width="11" bestFit="1" customWidth="1"/>
    <col min="9472" max="9472" width="11" customWidth="1"/>
    <col min="9473" max="9473" width="12" customWidth="1"/>
    <col min="9474" max="9478" width="21.42578125" customWidth="1"/>
    <col min="9480" max="9480" width="18.42578125" customWidth="1"/>
    <col min="9481" max="9481" width="11" customWidth="1"/>
    <col min="9482" max="9482" width="11" bestFit="1" customWidth="1"/>
    <col min="9728" max="9728" width="11" customWidth="1"/>
    <col min="9729" max="9729" width="12" customWidth="1"/>
    <col min="9730" max="9734" width="21.42578125" customWidth="1"/>
    <col min="9736" max="9736" width="18.42578125" customWidth="1"/>
    <col min="9737" max="9737" width="11" customWidth="1"/>
    <col min="9738" max="9738" width="11" bestFit="1" customWidth="1"/>
    <col min="9984" max="9984" width="11" customWidth="1"/>
    <col min="9985" max="9985" width="12" customWidth="1"/>
    <col min="9986" max="9990" width="21.42578125" customWidth="1"/>
    <col min="9992" max="9992" width="18.42578125" customWidth="1"/>
    <col min="9993" max="9993" width="11" customWidth="1"/>
    <col min="9994" max="9994" width="11" bestFit="1" customWidth="1"/>
    <col min="10240" max="10240" width="11" customWidth="1"/>
    <col min="10241" max="10241" width="12" customWidth="1"/>
    <col min="10242" max="10246" width="21.42578125" customWidth="1"/>
    <col min="10248" max="10248" width="18.42578125" customWidth="1"/>
    <col min="10249" max="10249" width="11" customWidth="1"/>
    <col min="10250" max="10250" width="11" bestFit="1" customWidth="1"/>
    <col min="10496" max="10496" width="11" customWidth="1"/>
    <col min="10497" max="10497" width="12" customWidth="1"/>
    <col min="10498" max="10502" width="21.42578125" customWidth="1"/>
    <col min="10504" max="10504" width="18.42578125" customWidth="1"/>
    <col min="10505" max="10505" width="11" customWidth="1"/>
    <col min="10506" max="10506" width="11" bestFit="1" customWidth="1"/>
    <col min="10752" max="10752" width="11" customWidth="1"/>
    <col min="10753" max="10753" width="12" customWidth="1"/>
    <col min="10754" max="10758" width="21.42578125" customWidth="1"/>
    <col min="10760" max="10760" width="18.42578125" customWidth="1"/>
    <col min="10761" max="10761" width="11" customWidth="1"/>
    <col min="10762" max="10762" width="11" bestFit="1" customWidth="1"/>
    <col min="11008" max="11008" width="11" customWidth="1"/>
    <col min="11009" max="11009" width="12" customWidth="1"/>
    <col min="11010" max="11014" width="21.42578125" customWidth="1"/>
    <col min="11016" max="11016" width="18.42578125" customWidth="1"/>
    <col min="11017" max="11017" width="11" customWidth="1"/>
    <col min="11018" max="11018" width="11" bestFit="1" customWidth="1"/>
    <col min="11264" max="11264" width="11" customWidth="1"/>
    <col min="11265" max="11265" width="12" customWidth="1"/>
    <col min="11266" max="11270" width="21.42578125" customWidth="1"/>
    <col min="11272" max="11272" width="18.42578125" customWidth="1"/>
    <col min="11273" max="11273" width="11" customWidth="1"/>
    <col min="11274" max="11274" width="11" bestFit="1" customWidth="1"/>
    <col min="11520" max="11520" width="11" customWidth="1"/>
    <col min="11521" max="11521" width="12" customWidth="1"/>
    <col min="11522" max="11526" width="21.42578125" customWidth="1"/>
    <col min="11528" max="11528" width="18.42578125" customWidth="1"/>
    <col min="11529" max="11529" width="11" customWidth="1"/>
    <col min="11530" max="11530" width="11" bestFit="1" customWidth="1"/>
    <col min="11776" max="11776" width="11" customWidth="1"/>
    <col min="11777" max="11777" width="12" customWidth="1"/>
    <col min="11778" max="11782" width="21.42578125" customWidth="1"/>
    <col min="11784" max="11784" width="18.42578125" customWidth="1"/>
    <col min="11785" max="11785" width="11" customWidth="1"/>
    <col min="11786" max="11786" width="11" bestFit="1" customWidth="1"/>
    <col min="12032" max="12032" width="11" customWidth="1"/>
    <col min="12033" max="12033" width="12" customWidth="1"/>
    <col min="12034" max="12038" width="21.42578125" customWidth="1"/>
    <col min="12040" max="12040" width="18.42578125" customWidth="1"/>
    <col min="12041" max="12041" width="11" customWidth="1"/>
    <col min="12042" max="12042" width="11" bestFit="1" customWidth="1"/>
    <col min="12288" max="12288" width="11" customWidth="1"/>
    <col min="12289" max="12289" width="12" customWidth="1"/>
    <col min="12290" max="12294" width="21.42578125" customWidth="1"/>
    <col min="12296" max="12296" width="18.42578125" customWidth="1"/>
    <col min="12297" max="12297" width="11" customWidth="1"/>
    <col min="12298" max="12298" width="11" bestFit="1" customWidth="1"/>
    <col min="12544" max="12544" width="11" customWidth="1"/>
    <col min="12545" max="12545" width="12" customWidth="1"/>
    <col min="12546" max="12550" width="21.42578125" customWidth="1"/>
    <col min="12552" max="12552" width="18.42578125" customWidth="1"/>
    <col min="12553" max="12553" width="11" customWidth="1"/>
    <col min="12554" max="12554" width="11" bestFit="1" customWidth="1"/>
    <col min="12800" max="12800" width="11" customWidth="1"/>
    <col min="12801" max="12801" width="12" customWidth="1"/>
    <col min="12802" max="12806" width="21.42578125" customWidth="1"/>
    <col min="12808" max="12808" width="18.42578125" customWidth="1"/>
    <col min="12809" max="12809" width="11" customWidth="1"/>
    <col min="12810" max="12810" width="11" bestFit="1" customWidth="1"/>
    <col min="13056" max="13056" width="11" customWidth="1"/>
    <col min="13057" max="13057" width="12" customWidth="1"/>
    <col min="13058" max="13062" width="21.42578125" customWidth="1"/>
    <col min="13064" max="13064" width="18.42578125" customWidth="1"/>
    <col min="13065" max="13065" width="11" customWidth="1"/>
    <col min="13066" max="13066" width="11" bestFit="1" customWidth="1"/>
    <col min="13312" max="13312" width="11" customWidth="1"/>
    <col min="13313" max="13313" width="12" customWidth="1"/>
    <col min="13314" max="13318" width="21.42578125" customWidth="1"/>
    <col min="13320" max="13320" width="18.42578125" customWidth="1"/>
    <col min="13321" max="13321" width="11" customWidth="1"/>
    <col min="13322" max="13322" width="11" bestFit="1" customWidth="1"/>
    <col min="13568" max="13568" width="11" customWidth="1"/>
    <col min="13569" max="13569" width="12" customWidth="1"/>
    <col min="13570" max="13574" width="21.42578125" customWidth="1"/>
    <col min="13576" max="13576" width="18.42578125" customWidth="1"/>
    <col min="13577" max="13577" width="11" customWidth="1"/>
    <col min="13578" max="13578" width="11" bestFit="1" customWidth="1"/>
    <col min="13824" max="13824" width="11" customWidth="1"/>
    <col min="13825" max="13825" width="12" customWidth="1"/>
    <col min="13826" max="13830" width="21.42578125" customWidth="1"/>
    <col min="13832" max="13832" width="18.42578125" customWidth="1"/>
    <col min="13833" max="13833" width="11" customWidth="1"/>
    <col min="13834" max="13834" width="11" bestFit="1" customWidth="1"/>
    <col min="14080" max="14080" width="11" customWidth="1"/>
    <col min="14081" max="14081" width="12" customWidth="1"/>
    <col min="14082" max="14086" width="21.42578125" customWidth="1"/>
    <col min="14088" max="14088" width="18.42578125" customWidth="1"/>
    <col min="14089" max="14089" width="11" customWidth="1"/>
    <col min="14090" max="14090" width="11" bestFit="1" customWidth="1"/>
    <col min="14336" max="14336" width="11" customWidth="1"/>
    <col min="14337" max="14337" width="12" customWidth="1"/>
    <col min="14338" max="14342" width="21.42578125" customWidth="1"/>
    <col min="14344" max="14344" width="18.42578125" customWidth="1"/>
    <col min="14345" max="14345" width="11" customWidth="1"/>
    <col min="14346" max="14346" width="11" bestFit="1" customWidth="1"/>
    <col min="14592" max="14592" width="11" customWidth="1"/>
    <col min="14593" max="14593" width="12" customWidth="1"/>
    <col min="14594" max="14598" width="21.42578125" customWidth="1"/>
    <col min="14600" max="14600" width="18.42578125" customWidth="1"/>
    <col min="14601" max="14601" width="11" customWidth="1"/>
    <col min="14602" max="14602" width="11" bestFit="1" customWidth="1"/>
    <col min="14848" max="14848" width="11" customWidth="1"/>
    <col min="14849" max="14849" width="12" customWidth="1"/>
    <col min="14850" max="14854" width="21.42578125" customWidth="1"/>
    <col min="14856" max="14856" width="18.42578125" customWidth="1"/>
    <col min="14857" max="14857" width="11" customWidth="1"/>
    <col min="14858" max="14858" width="11" bestFit="1" customWidth="1"/>
    <col min="15104" max="15104" width="11" customWidth="1"/>
    <col min="15105" max="15105" width="12" customWidth="1"/>
    <col min="15106" max="15110" width="21.42578125" customWidth="1"/>
    <col min="15112" max="15112" width="18.42578125" customWidth="1"/>
    <col min="15113" max="15113" width="11" customWidth="1"/>
    <col min="15114" max="15114" width="11" bestFit="1" customWidth="1"/>
    <col min="15360" max="15360" width="11" customWidth="1"/>
    <col min="15361" max="15361" width="12" customWidth="1"/>
    <col min="15362" max="15366" width="21.42578125" customWidth="1"/>
    <col min="15368" max="15368" width="18.42578125" customWidth="1"/>
    <col min="15369" max="15369" width="11" customWidth="1"/>
    <col min="15370" max="15370" width="11" bestFit="1" customWidth="1"/>
    <col min="15616" max="15616" width="11" customWidth="1"/>
    <col min="15617" max="15617" width="12" customWidth="1"/>
    <col min="15618" max="15622" width="21.42578125" customWidth="1"/>
    <col min="15624" max="15624" width="18.42578125" customWidth="1"/>
    <col min="15625" max="15625" width="11" customWidth="1"/>
    <col min="15626" max="15626" width="11" bestFit="1" customWidth="1"/>
    <col min="15872" max="15872" width="11" customWidth="1"/>
    <col min="15873" max="15873" width="12" customWidth="1"/>
    <col min="15874" max="15878" width="21.42578125" customWidth="1"/>
    <col min="15880" max="15880" width="18.42578125" customWidth="1"/>
    <col min="15881" max="15881" width="11" customWidth="1"/>
    <col min="15882" max="15882" width="11" bestFit="1" customWidth="1"/>
    <col min="16128" max="16128" width="11" customWidth="1"/>
    <col min="16129" max="16129" width="12" customWidth="1"/>
    <col min="16130" max="16134" width="21.42578125" customWidth="1"/>
    <col min="16136" max="16136" width="18.42578125" customWidth="1"/>
    <col min="16137" max="16137" width="11" customWidth="1"/>
    <col min="16138" max="16138" width="11" bestFit="1" customWidth="1"/>
  </cols>
  <sheetData>
    <row r="2" spans="1:11" ht="18" customHeight="1" x14ac:dyDescent="0.25">
      <c r="A2"/>
      <c r="B2" s="762" t="s">
        <v>0</v>
      </c>
      <c r="C2" s="762"/>
      <c r="D2" s="762"/>
      <c r="E2" s="762"/>
      <c r="F2" s="762"/>
      <c r="G2" s="1"/>
    </row>
    <row r="3" spans="1:11" ht="15.75" thickBot="1" x14ac:dyDescent="0.3"/>
    <row r="4" spans="1:11" ht="26.25" thickBot="1" x14ac:dyDescent="0.3">
      <c r="B4" s="2" t="s">
        <v>2</v>
      </c>
      <c r="C4" s="909" t="s">
        <v>145</v>
      </c>
      <c r="D4" s="909"/>
      <c r="E4" s="909"/>
      <c r="F4" s="909"/>
    </row>
    <row r="5" spans="1:11" ht="15.75" thickBot="1" x14ac:dyDescent="0.3">
      <c r="B5" s="2" t="s">
        <v>3</v>
      </c>
      <c r="C5" s="1699" t="s">
        <v>4</v>
      </c>
      <c r="D5" s="1700"/>
      <c r="E5" s="1700"/>
      <c r="F5" s="1701"/>
    </row>
    <row r="6" spans="1:11" ht="26.25" thickBot="1" x14ac:dyDescent="0.3">
      <c r="B6" s="2" t="s">
        <v>5</v>
      </c>
      <c r="C6" s="913" t="s">
        <v>6</v>
      </c>
      <c r="D6" s="914"/>
      <c r="E6" s="914"/>
      <c r="F6" s="915"/>
    </row>
    <row r="7" spans="1:11" ht="15.75" thickBot="1" x14ac:dyDescent="0.3">
      <c r="B7" s="916" t="s">
        <v>7</v>
      </c>
      <c r="C7" s="917"/>
      <c r="D7" s="917"/>
      <c r="E7" s="917"/>
      <c r="F7" s="918"/>
    </row>
    <row r="8" spans="1:11" ht="15.75" thickBot="1" x14ac:dyDescent="0.3">
      <c r="B8" s="1702" t="s">
        <v>239</v>
      </c>
      <c r="C8" s="1703"/>
      <c r="D8" s="1703"/>
      <c r="E8" s="1703"/>
      <c r="F8" s="1704"/>
    </row>
    <row r="9" spans="1:11" ht="36.75" customHeight="1" thickBot="1" x14ac:dyDescent="0.3">
      <c r="B9" s="1702"/>
      <c r="C9" s="1703"/>
      <c r="D9" s="1703"/>
      <c r="E9" s="1703"/>
      <c r="F9" s="1704"/>
    </row>
    <row r="10" spans="1:11" ht="15.75" thickBot="1" x14ac:dyDescent="0.3">
      <c r="B10" s="1702"/>
      <c r="C10" s="1703"/>
      <c r="D10" s="1703"/>
      <c r="E10" s="1703"/>
      <c r="F10" s="1704"/>
    </row>
    <row r="11" spans="1:11" ht="81.75" customHeight="1" thickBot="1" x14ac:dyDescent="0.3">
      <c r="B11" s="3" t="s">
        <v>8</v>
      </c>
      <c r="C11" s="1705" t="s">
        <v>240</v>
      </c>
      <c r="D11" s="1706"/>
      <c r="E11" s="1706"/>
      <c r="F11" s="1707"/>
    </row>
    <row r="12" spans="1:11" ht="23.25" customHeight="1" x14ac:dyDescent="0.25">
      <c r="B12" s="919" t="s">
        <v>102</v>
      </c>
      <c r="C12" s="72">
        <v>2018</v>
      </c>
      <c r="D12" s="72">
        <v>2019</v>
      </c>
      <c r="E12" s="72">
        <v>2020</v>
      </c>
      <c r="F12" s="72">
        <v>2021</v>
      </c>
    </row>
    <row r="13" spans="1:11" ht="15.75" thickBot="1" x14ac:dyDescent="0.3">
      <c r="B13" s="920"/>
      <c r="C13" s="73" t="s">
        <v>10</v>
      </c>
      <c r="D13" s="73" t="s">
        <v>11</v>
      </c>
      <c r="E13" s="73" t="s">
        <v>11</v>
      </c>
      <c r="F13" s="73" t="s">
        <v>11</v>
      </c>
    </row>
    <row r="14" spans="1:11" ht="23.25" thickBot="1" x14ac:dyDescent="0.3">
      <c r="B14" s="69" t="s">
        <v>241</v>
      </c>
      <c r="C14" s="84">
        <v>1200</v>
      </c>
      <c r="D14" s="84">
        <v>1440</v>
      </c>
      <c r="E14" s="84">
        <v>1560</v>
      </c>
      <c r="F14" s="84">
        <v>1620</v>
      </c>
    </row>
    <row r="15" spans="1:11" ht="24.75" thickBot="1" x14ac:dyDescent="0.3">
      <c r="B15" s="6" t="s">
        <v>12</v>
      </c>
      <c r="C15" s="924" t="s">
        <v>242</v>
      </c>
      <c r="D15" s="925"/>
      <c r="E15" s="925"/>
      <c r="F15" s="926"/>
    </row>
    <row r="16" spans="1:11" ht="23.25" customHeight="1" thickBot="1" x14ac:dyDescent="0.3">
      <c r="B16" s="927" t="s">
        <v>103</v>
      </c>
      <c r="C16" s="928"/>
      <c r="D16" s="928"/>
      <c r="E16" s="928"/>
      <c r="F16" s="929"/>
      <c r="I16" s="35"/>
      <c r="K16" s="35"/>
    </row>
    <row r="17" spans="2:12" ht="23.25" thickBot="1" x14ac:dyDescent="0.3">
      <c r="B17" s="69" t="s">
        <v>241</v>
      </c>
      <c r="C17" s="4">
        <v>1</v>
      </c>
      <c r="D17" s="4">
        <v>1.2</v>
      </c>
      <c r="E17" s="4">
        <v>1.3</v>
      </c>
      <c r="F17" s="4">
        <v>1.35</v>
      </c>
    </row>
    <row r="18" spans="2:12" ht="15.75" thickBot="1" x14ac:dyDescent="0.3">
      <c r="B18" s="930" t="s">
        <v>14</v>
      </c>
      <c r="C18" s="931"/>
      <c r="D18" s="931"/>
      <c r="E18" s="931"/>
      <c r="F18" s="932"/>
    </row>
    <row r="19" spans="2:12" ht="15.75" thickBot="1" x14ac:dyDescent="0.3">
      <c r="B19" s="933" t="s">
        <v>104</v>
      </c>
      <c r="C19" s="934"/>
      <c r="D19" s="934"/>
      <c r="E19" s="934"/>
      <c r="F19" s="935"/>
    </row>
    <row r="20" spans="2:12" ht="15.75" thickBot="1" x14ac:dyDescent="0.3">
      <c r="B20" s="7" t="s">
        <v>105</v>
      </c>
      <c r="C20" s="960" t="s">
        <v>243</v>
      </c>
      <c r="D20" s="937"/>
      <c r="E20" s="937"/>
      <c r="F20" s="938"/>
    </row>
    <row r="21" spans="2:12" ht="17.25" customHeight="1" thickBot="1" x14ac:dyDescent="0.3">
      <c r="B21" s="5" t="s">
        <v>17</v>
      </c>
      <c r="C21" s="927" t="s">
        <v>241</v>
      </c>
      <c r="D21" s="928"/>
      <c r="E21" s="928"/>
      <c r="F21" s="929"/>
    </row>
    <row r="22" spans="2:12" ht="15.75" thickBot="1" x14ac:dyDescent="0.3">
      <c r="B22" s="5" t="s">
        <v>18</v>
      </c>
      <c r="C22" s="942" t="s">
        <v>111</v>
      </c>
      <c r="D22" s="943"/>
      <c r="E22" s="943"/>
      <c r="F22" s="944"/>
    </row>
    <row r="23" spans="2:12" ht="12.75" customHeight="1" x14ac:dyDescent="0.25">
      <c r="B23" s="919"/>
      <c r="C23" s="8">
        <v>2018</v>
      </c>
      <c r="D23" s="8">
        <v>2019</v>
      </c>
      <c r="E23" s="8">
        <v>2020</v>
      </c>
      <c r="F23" s="8">
        <v>2021</v>
      </c>
    </row>
    <row r="24" spans="2:12" ht="21.75" customHeight="1" thickBot="1" x14ac:dyDescent="0.3">
      <c r="B24" s="920"/>
      <c r="C24" s="9" t="s">
        <v>10</v>
      </c>
      <c r="D24" s="9" t="s">
        <v>11</v>
      </c>
      <c r="E24" s="9" t="s">
        <v>11</v>
      </c>
      <c r="F24" s="9" t="s">
        <v>11</v>
      </c>
    </row>
    <row r="25" spans="2:12" ht="15.75" thickBot="1" x14ac:dyDescent="0.3">
      <c r="B25" s="5" t="s">
        <v>19</v>
      </c>
      <c r="C25" s="10">
        <v>1200</v>
      </c>
      <c r="D25" s="10">
        <v>1440</v>
      </c>
      <c r="E25" s="10">
        <v>1560</v>
      </c>
      <c r="F25" s="10">
        <v>1620</v>
      </c>
    </row>
    <row r="26" spans="2:12" ht="15.75" thickBot="1" x14ac:dyDescent="0.3">
      <c r="B26" s="5" t="s">
        <v>20</v>
      </c>
      <c r="C26" s="10">
        <v>46100</v>
      </c>
      <c r="D26" s="10">
        <v>51000</v>
      </c>
      <c r="E26" s="10">
        <v>56000</v>
      </c>
      <c r="F26" s="10">
        <v>56500</v>
      </c>
    </row>
    <row r="27" spans="2:12" ht="15.75" thickBot="1" x14ac:dyDescent="0.3">
      <c r="B27" s="5" t="s">
        <v>21</v>
      </c>
      <c r="C27" s="10">
        <f>C26/C25</f>
        <v>38.416666666666664</v>
      </c>
      <c r="D27" s="10">
        <f>D26/D25</f>
        <v>35.416666666666664</v>
      </c>
      <c r="E27" s="10">
        <f>E26/E25</f>
        <v>35.897435897435898</v>
      </c>
      <c r="F27" s="10">
        <f>F26/F25</f>
        <v>34.876543209876544</v>
      </c>
    </row>
    <row r="28" spans="2:12" ht="15.75" thickBot="1" x14ac:dyDescent="0.3">
      <c r="B28" s="5" t="s">
        <v>22</v>
      </c>
      <c r="C28" s="68" t="s">
        <v>23</v>
      </c>
      <c r="D28" s="11">
        <f>D25/C25-1</f>
        <v>0.19999999999999996</v>
      </c>
      <c r="E28" s="11">
        <f t="shared" ref="E28:F30" si="0">E25/D25-1</f>
        <v>8.3333333333333259E-2</v>
      </c>
      <c r="F28" s="11">
        <f t="shared" si="0"/>
        <v>3.8461538461538547E-2</v>
      </c>
      <c r="H28" s="12"/>
      <c r="I28" s="12"/>
      <c r="J28" s="12"/>
      <c r="K28" s="12"/>
      <c r="L28" s="12"/>
    </row>
    <row r="29" spans="2:12" ht="15.75" thickBot="1" x14ac:dyDescent="0.3">
      <c r="B29" s="5" t="s">
        <v>24</v>
      </c>
      <c r="C29" s="68" t="s">
        <v>23</v>
      </c>
      <c r="D29" s="11">
        <f>D26/C26-1</f>
        <v>0.10629067245119317</v>
      </c>
      <c r="E29" s="11">
        <f t="shared" si="0"/>
        <v>9.8039215686274606E-2</v>
      </c>
      <c r="F29" s="11">
        <f t="shared" si="0"/>
        <v>8.9285714285713969E-3</v>
      </c>
    </row>
    <row r="30" spans="2:12" ht="23.25" thickBot="1" x14ac:dyDescent="0.3">
      <c r="B30" s="5" t="s">
        <v>25</v>
      </c>
      <c r="C30" s="68" t="s">
        <v>23</v>
      </c>
      <c r="D30" s="11">
        <f>D27/C27-1</f>
        <v>-7.8091106290672507E-2</v>
      </c>
      <c r="E30" s="11">
        <f t="shared" si="0"/>
        <v>1.3574660633484337E-2</v>
      </c>
      <c r="F30" s="11">
        <f t="shared" si="0"/>
        <v>-2.8439153439153375E-2</v>
      </c>
    </row>
    <row r="31" spans="2:12" ht="15.75" thickBot="1" x14ac:dyDescent="0.3">
      <c r="B31" s="945" t="s">
        <v>112</v>
      </c>
      <c r="C31" s="946"/>
      <c r="D31" s="946"/>
      <c r="E31" s="946"/>
      <c r="F31" s="947"/>
    </row>
    <row r="32" spans="2:12" ht="12.75" customHeight="1" x14ac:dyDescent="0.25">
      <c r="B32" s="919" t="s">
        <v>244</v>
      </c>
      <c r="C32" s="8">
        <v>2018</v>
      </c>
      <c r="D32" s="8">
        <v>2019</v>
      </c>
      <c r="E32" s="8">
        <v>2020</v>
      </c>
      <c r="F32" s="8">
        <v>2021</v>
      </c>
    </row>
    <row r="33" spans="2:6" ht="19.5" customHeight="1" thickBot="1" x14ac:dyDescent="0.3">
      <c r="B33" s="920"/>
      <c r="C33" s="9" t="s">
        <v>10</v>
      </c>
      <c r="D33" s="9" t="s">
        <v>11</v>
      </c>
      <c r="E33" s="9" t="s">
        <v>11</v>
      </c>
      <c r="F33" s="9" t="s">
        <v>11</v>
      </c>
    </row>
    <row r="34" spans="2:6" ht="15.75" thickBot="1" x14ac:dyDescent="0.3">
      <c r="B34" s="13" t="s">
        <v>26</v>
      </c>
      <c r="C34" s="14">
        <v>32000</v>
      </c>
      <c r="D34" s="14">
        <v>32000</v>
      </c>
      <c r="E34" s="14">
        <v>32000</v>
      </c>
      <c r="F34" s="14">
        <v>32400</v>
      </c>
    </row>
    <row r="35" spans="2:6" ht="24.75" thickBot="1" x14ac:dyDescent="0.3">
      <c r="B35" s="13" t="s">
        <v>28</v>
      </c>
      <c r="C35" s="14">
        <v>5100</v>
      </c>
      <c r="D35" s="14">
        <v>5100</v>
      </c>
      <c r="E35" s="14">
        <v>5100</v>
      </c>
      <c r="F35" s="14">
        <v>5100</v>
      </c>
    </row>
    <row r="36" spans="2:6" ht="15.75" thickBot="1" x14ac:dyDescent="0.3">
      <c r="B36" s="13" t="s">
        <v>30</v>
      </c>
      <c r="C36" s="15">
        <v>8000</v>
      </c>
      <c r="D36" s="14">
        <v>12900</v>
      </c>
      <c r="E36" s="14">
        <v>17900</v>
      </c>
      <c r="F36" s="14">
        <v>18000</v>
      </c>
    </row>
    <row r="37" spans="2:6" ht="15.75" thickBot="1" x14ac:dyDescent="0.3">
      <c r="B37" s="13" t="s">
        <v>32</v>
      </c>
      <c r="C37" s="15"/>
      <c r="D37" s="14"/>
      <c r="E37" s="14"/>
      <c r="F37" s="14"/>
    </row>
    <row r="38" spans="2:6" ht="24.75" thickBot="1" x14ac:dyDescent="0.3">
      <c r="B38" s="13" t="s">
        <v>34</v>
      </c>
      <c r="C38" s="15"/>
      <c r="D38" s="14"/>
      <c r="E38" s="14"/>
      <c r="F38" s="14"/>
    </row>
    <row r="39" spans="2:6" ht="15.75" thickBot="1" x14ac:dyDescent="0.3">
      <c r="B39" s="13" t="s">
        <v>36</v>
      </c>
      <c r="C39" s="15"/>
      <c r="D39" s="14"/>
      <c r="E39" s="14"/>
      <c r="F39" s="14"/>
    </row>
    <row r="40" spans="2:6" ht="24.75" thickBot="1" x14ac:dyDescent="0.3">
      <c r="B40" s="13" t="s">
        <v>38</v>
      </c>
      <c r="C40" s="15"/>
      <c r="D40" s="14"/>
      <c r="E40" s="14"/>
      <c r="F40" s="14"/>
    </row>
    <row r="41" spans="2:6" ht="24.75" thickBot="1" x14ac:dyDescent="0.3">
      <c r="B41" s="16" t="s">
        <v>40</v>
      </c>
      <c r="C41" s="15">
        <f>C40+C39+C38+C37+C36+C35+C34</f>
        <v>45100</v>
      </c>
      <c r="D41" s="15">
        <f>D40+D39+D38+D37+D36+D35+D34</f>
        <v>50000</v>
      </c>
      <c r="E41" s="15">
        <f>E40+E39+E38+E37+E36+E35+E34</f>
        <v>55000</v>
      </c>
      <c r="F41" s="15">
        <f>F40+F39+F38+F37+F36+F35+F34</f>
        <v>55500</v>
      </c>
    </row>
    <row r="42" spans="2:6" ht="15.75" thickBot="1" x14ac:dyDescent="0.3">
      <c r="B42" s="17" t="s">
        <v>41</v>
      </c>
      <c r="C42" s="18"/>
      <c r="D42" s="18"/>
      <c r="E42" s="18"/>
      <c r="F42" s="18"/>
    </row>
    <row r="43" spans="2:6" ht="15.75" thickBot="1" x14ac:dyDescent="0.3">
      <c r="B43" s="933" t="s">
        <v>63</v>
      </c>
      <c r="C43" s="934"/>
      <c r="D43" s="934"/>
      <c r="E43" s="934"/>
      <c r="F43" s="935"/>
    </row>
    <row r="44" spans="2:6" ht="15.75" thickBot="1" x14ac:dyDescent="0.3">
      <c r="B44" s="933" t="s">
        <v>56</v>
      </c>
      <c r="C44" s="934"/>
      <c r="D44" s="934"/>
      <c r="E44" s="934"/>
      <c r="F44" s="935"/>
    </row>
    <row r="45" spans="2:6" ht="15.75" thickBot="1" x14ac:dyDescent="0.3">
      <c r="B45" s="20" t="s">
        <v>245</v>
      </c>
      <c r="C45" s="961" t="s">
        <v>131</v>
      </c>
      <c r="D45" s="962"/>
      <c r="E45" s="962"/>
      <c r="F45" s="963"/>
    </row>
    <row r="46" spans="2:6" ht="15.75" thickBot="1" x14ac:dyDescent="0.3">
      <c r="B46" s="7" t="s">
        <v>16</v>
      </c>
      <c r="C46" s="961" t="s">
        <v>131</v>
      </c>
      <c r="D46" s="962"/>
      <c r="E46" s="962"/>
      <c r="F46" s="963"/>
    </row>
    <row r="47" spans="2:6" ht="17.25" customHeight="1" thickBot="1" x14ac:dyDescent="0.3">
      <c r="B47" s="5" t="s">
        <v>17</v>
      </c>
      <c r="C47" s="927" t="s">
        <v>107</v>
      </c>
      <c r="D47" s="928"/>
      <c r="E47" s="928"/>
      <c r="F47" s="929"/>
    </row>
    <row r="48" spans="2:6" ht="15.75" thickBot="1" x14ac:dyDescent="0.3">
      <c r="B48" s="5" t="s">
        <v>18</v>
      </c>
      <c r="C48" s="942" t="s">
        <v>73</v>
      </c>
      <c r="D48" s="943"/>
      <c r="E48" s="943"/>
      <c r="F48" s="944"/>
    </row>
    <row r="49" spans="2:12" ht="12.75" customHeight="1" x14ac:dyDescent="0.25">
      <c r="B49" s="919"/>
      <c r="C49" s="8">
        <v>2018</v>
      </c>
      <c r="D49" s="8">
        <v>2019</v>
      </c>
      <c r="E49" s="8">
        <v>2020</v>
      </c>
      <c r="F49" s="8">
        <v>2021</v>
      </c>
    </row>
    <row r="50" spans="2:12" ht="18" customHeight="1" thickBot="1" x14ac:dyDescent="0.3">
      <c r="B50" s="920"/>
      <c r="C50" s="9" t="s">
        <v>10</v>
      </c>
      <c r="D50" s="9" t="s">
        <v>11</v>
      </c>
      <c r="E50" s="9" t="s">
        <v>11</v>
      </c>
      <c r="F50" s="9" t="s">
        <v>11</v>
      </c>
    </row>
    <row r="51" spans="2:12" ht="15.75" thickBot="1" x14ac:dyDescent="0.3">
      <c r="B51" s="5" t="s">
        <v>19</v>
      </c>
      <c r="C51" s="10">
        <v>1</v>
      </c>
      <c r="D51" s="10">
        <v>98</v>
      </c>
      <c r="E51" s="10">
        <v>90</v>
      </c>
      <c r="F51" s="10">
        <v>80</v>
      </c>
    </row>
    <row r="52" spans="2:12" ht="15.75" thickBot="1" x14ac:dyDescent="0.3">
      <c r="B52" s="5" t="s">
        <v>20</v>
      </c>
      <c r="C52" s="10">
        <v>750</v>
      </c>
      <c r="D52" s="10">
        <v>750</v>
      </c>
      <c r="E52" s="10">
        <v>750</v>
      </c>
      <c r="F52" s="10">
        <v>750</v>
      </c>
    </row>
    <row r="53" spans="2:12" ht="15.75" thickBot="1" x14ac:dyDescent="0.3">
      <c r="B53" s="5" t="s">
        <v>21</v>
      </c>
      <c r="C53" s="10">
        <f>C52/C51</f>
        <v>750</v>
      </c>
      <c r="D53" s="10">
        <f>D52/D51</f>
        <v>7.6530612244897958</v>
      </c>
      <c r="E53" s="10">
        <f>E52/E51</f>
        <v>8.3333333333333339</v>
      </c>
      <c r="F53" s="10">
        <f>F52/F51</f>
        <v>9.375</v>
      </c>
    </row>
    <row r="54" spans="2:12" ht="15.75" thickBot="1" x14ac:dyDescent="0.3">
      <c r="B54" s="5" t="s">
        <v>22</v>
      </c>
      <c r="C54" s="68" t="s">
        <v>23</v>
      </c>
      <c r="D54" s="11">
        <f>D51/C51-1</f>
        <v>97</v>
      </c>
      <c r="E54" s="11">
        <f t="shared" ref="E54:F56" si="1">E51/D51-1</f>
        <v>-8.1632653061224469E-2</v>
      </c>
      <c r="F54" s="11">
        <f t="shared" si="1"/>
        <v>-0.11111111111111116</v>
      </c>
      <c r="H54" s="12"/>
      <c r="I54" s="12"/>
      <c r="J54" s="12"/>
      <c r="K54" s="12"/>
      <c r="L54" s="12"/>
    </row>
    <row r="55" spans="2:12" ht="15.75" thickBot="1" x14ac:dyDescent="0.3">
      <c r="B55" s="5" t="s">
        <v>24</v>
      </c>
      <c r="C55" s="68" t="s">
        <v>23</v>
      </c>
      <c r="D55" s="11">
        <f>D52/C52-1</f>
        <v>0</v>
      </c>
      <c r="E55" s="11">
        <f t="shared" si="1"/>
        <v>0</v>
      </c>
      <c r="F55" s="11">
        <f t="shared" si="1"/>
        <v>0</v>
      </c>
    </row>
    <row r="56" spans="2:12" ht="23.25" thickBot="1" x14ac:dyDescent="0.3">
      <c r="B56" s="5" t="s">
        <v>25</v>
      </c>
      <c r="C56" s="68" t="s">
        <v>23</v>
      </c>
      <c r="D56" s="11">
        <f>D53/C53-1</f>
        <v>-0.98979591836734693</v>
      </c>
      <c r="E56" s="11">
        <f t="shared" si="1"/>
        <v>8.8888888888889017E-2</v>
      </c>
      <c r="F56" s="11">
        <f t="shared" si="1"/>
        <v>0.125</v>
      </c>
    </row>
    <row r="57" spans="2:12" ht="15.75" thickBot="1" x14ac:dyDescent="0.3">
      <c r="B57" s="945" t="s">
        <v>112</v>
      </c>
      <c r="C57" s="946"/>
      <c r="D57" s="946"/>
      <c r="E57" s="946"/>
      <c r="F57" s="947"/>
    </row>
    <row r="58" spans="2:12" ht="12.75" customHeight="1" x14ac:dyDescent="0.25">
      <c r="B58" s="919"/>
      <c r="C58" s="8">
        <v>2018</v>
      </c>
      <c r="D58" s="8">
        <v>2019</v>
      </c>
      <c r="E58" s="8">
        <v>2020</v>
      </c>
      <c r="F58" s="8">
        <v>2021</v>
      </c>
    </row>
    <row r="59" spans="2:12" ht="15" customHeight="1" thickBot="1" x14ac:dyDescent="0.3">
      <c r="B59" s="920"/>
      <c r="C59" s="9" t="s">
        <v>10</v>
      </c>
      <c r="D59" s="9" t="s">
        <v>11</v>
      </c>
      <c r="E59" s="9" t="s">
        <v>11</v>
      </c>
      <c r="F59" s="9" t="s">
        <v>11</v>
      </c>
    </row>
    <row r="60" spans="2:12" ht="15.75" thickBot="1" x14ac:dyDescent="0.3">
      <c r="B60" s="13" t="s">
        <v>58</v>
      </c>
      <c r="C60" s="14"/>
      <c r="D60" s="14"/>
      <c r="E60" s="14"/>
      <c r="F60" s="14"/>
    </row>
    <row r="61" spans="2:12" ht="15.75" thickBot="1" x14ac:dyDescent="0.3">
      <c r="B61" s="13" t="s">
        <v>59</v>
      </c>
      <c r="C61" s="15">
        <v>750</v>
      </c>
      <c r="D61" s="15">
        <v>750</v>
      </c>
      <c r="E61" s="15">
        <v>750</v>
      </c>
      <c r="F61" s="15">
        <v>750</v>
      </c>
    </row>
    <row r="62" spans="2:12" ht="24.75" thickBot="1" x14ac:dyDescent="0.3">
      <c r="B62" s="16" t="s">
        <v>40</v>
      </c>
      <c r="C62" s="15">
        <f>C61+C60</f>
        <v>750</v>
      </c>
      <c r="D62" s="15">
        <f>D61+D60</f>
        <v>750</v>
      </c>
      <c r="E62" s="15">
        <f>E61+E60</f>
        <v>750</v>
      </c>
      <c r="F62" s="15">
        <f>F61+F60</f>
        <v>750</v>
      </c>
    </row>
    <row r="63" spans="2:12" x14ac:dyDescent="0.25">
      <c r="B63" s="948" t="s">
        <v>60</v>
      </c>
      <c r="C63" s="951"/>
      <c r="D63" s="952"/>
      <c r="E63" s="952"/>
      <c r="F63" s="953"/>
    </row>
    <row r="64" spans="2:12" x14ac:dyDescent="0.25">
      <c r="B64" s="949"/>
      <c r="C64" s="954"/>
      <c r="D64" s="955"/>
      <c r="E64" s="955"/>
      <c r="F64" s="956"/>
    </row>
    <row r="65" spans="2:12" ht="15.75" thickBot="1" x14ac:dyDescent="0.3">
      <c r="B65" s="950"/>
      <c r="C65" s="957"/>
      <c r="D65" s="958"/>
      <c r="E65" s="958"/>
      <c r="F65" s="959"/>
    </row>
    <row r="66" spans="2:12" ht="15.75" thickBot="1" x14ac:dyDescent="0.3">
      <c r="B66" s="20" t="s">
        <v>245</v>
      </c>
      <c r="C66" s="961" t="s">
        <v>246</v>
      </c>
      <c r="D66" s="962"/>
      <c r="E66" s="962"/>
      <c r="F66" s="963"/>
    </row>
    <row r="67" spans="2:12" ht="23.25" thickBot="1" x14ac:dyDescent="0.3">
      <c r="B67" s="7" t="s">
        <v>129</v>
      </c>
      <c r="C67" s="961" t="s">
        <v>246</v>
      </c>
      <c r="D67" s="962"/>
      <c r="E67" s="962"/>
      <c r="F67" s="963"/>
    </row>
    <row r="68" spans="2:12" ht="17.25" customHeight="1" thickBot="1" x14ac:dyDescent="0.3">
      <c r="B68" s="5" t="s">
        <v>17</v>
      </c>
      <c r="C68" s="927" t="s">
        <v>106</v>
      </c>
      <c r="D68" s="928"/>
      <c r="E68" s="928"/>
      <c r="F68" s="929"/>
    </row>
    <row r="69" spans="2:12" ht="15.75" thickBot="1" x14ac:dyDescent="0.3">
      <c r="B69" s="5" t="s">
        <v>18</v>
      </c>
      <c r="C69" s="942" t="s">
        <v>73</v>
      </c>
      <c r="D69" s="943"/>
      <c r="E69" s="943"/>
      <c r="F69" s="944"/>
    </row>
    <row r="70" spans="2:12" ht="12.75" customHeight="1" x14ac:dyDescent="0.25">
      <c r="B70" s="919"/>
      <c r="C70" s="8">
        <v>2018</v>
      </c>
      <c r="D70" s="8">
        <v>2019</v>
      </c>
      <c r="E70" s="8">
        <v>2020</v>
      </c>
      <c r="F70" s="8">
        <v>2021</v>
      </c>
    </row>
    <row r="71" spans="2:12" ht="15.75" customHeight="1" thickBot="1" x14ac:dyDescent="0.3">
      <c r="B71" s="920"/>
      <c r="C71" s="9" t="s">
        <v>10</v>
      </c>
      <c r="D71" s="9" t="s">
        <v>11</v>
      </c>
      <c r="E71" s="9" t="s">
        <v>11</v>
      </c>
      <c r="F71" s="9" t="s">
        <v>11</v>
      </c>
    </row>
    <row r="72" spans="2:12" ht="15.75" thickBot="1" x14ac:dyDescent="0.3">
      <c r="B72" s="5" t="s">
        <v>19</v>
      </c>
      <c r="C72" s="10">
        <v>3</v>
      </c>
      <c r="D72" s="10">
        <v>3</v>
      </c>
      <c r="E72" s="10">
        <v>3</v>
      </c>
      <c r="F72" s="10">
        <v>3</v>
      </c>
    </row>
    <row r="73" spans="2:12" ht="15.75" thickBot="1" x14ac:dyDescent="0.3">
      <c r="B73" s="5" t="s">
        <v>20</v>
      </c>
      <c r="C73" s="10">
        <v>250</v>
      </c>
      <c r="D73" s="10">
        <v>250</v>
      </c>
      <c r="E73" s="10">
        <v>250</v>
      </c>
      <c r="F73" s="10">
        <v>250</v>
      </c>
    </row>
    <row r="74" spans="2:12" ht="15.75" thickBot="1" x14ac:dyDescent="0.3">
      <c r="B74" s="5" t="s">
        <v>21</v>
      </c>
      <c r="C74" s="10">
        <f>C73/C72</f>
        <v>83.333333333333329</v>
      </c>
      <c r="D74" s="10">
        <f>D73/D72</f>
        <v>83.333333333333329</v>
      </c>
      <c r="E74" s="10">
        <f>E73/E72</f>
        <v>83.333333333333329</v>
      </c>
      <c r="F74" s="10">
        <f>F73/F72</f>
        <v>83.333333333333329</v>
      </c>
    </row>
    <row r="75" spans="2:12" ht="15.75" thickBot="1" x14ac:dyDescent="0.3">
      <c r="B75" s="5" t="s">
        <v>22</v>
      </c>
      <c r="C75" s="68" t="s">
        <v>23</v>
      </c>
      <c r="D75" s="11">
        <f>D72/C72-1</f>
        <v>0</v>
      </c>
      <c r="E75" s="11">
        <f t="shared" ref="E75:F77" si="2">E72/D72-1</f>
        <v>0</v>
      </c>
      <c r="F75" s="11">
        <f t="shared" si="2"/>
        <v>0</v>
      </c>
      <c r="H75" s="12"/>
      <c r="I75" s="12"/>
      <c r="J75" s="12"/>
      <c r="K75" s="12"/>
      <c r="L75" s="12"/>
    </row>
    <row r="76" spans="2:12" ht="15.75" thickBot="1" x14ac:dyDescent="0.3">
      <c r="B76" s="5" t="s">
        <v>24</v>
      </c>
      <c r="C76" s="68" t="s">
        <v>23</v>
      </c>
      <c r="D76" s="11">
        <f>D73/C73-1</f>
        <v>0</v>
      </c>
      <c r="E76" s="11">
        <f t="shared" si="2"/>
        <v>0</v>
      </c>
      <c r="F76" s="11">
        <f t="shared" si="2"/>
        <v>0</v>
      </c>
    </row>
    <row r="77" spans="2:12" ht="23.25" thickBot="1" x14ac:dyDescent="0.3">
      <c r="B77" s="5" t="s">
        <v>25</v>
      </c>
      <c r="C77" s="68" t="s">
        <v>23</v>
      </c>
      <c r="D77" s="11">
        <f>D74/C74-1</f>
        <v>0</v>
      </c>
      <c r="E77" s="11">
        <f t="shared" si="2"/>
        <v>0</v>
      </c>
      <c r="F77" s="11">
        <f t="shared" si="2"/>
        <v>0</v>
      </c>
    </row>
    <row r="78" spans="2:12" ht="15.75" thickBot="1" x14ac:dyDescent="0.3">
      <c r="B78" s="945" t="s">
        <v>128</v>
      </c>
      <c r="C78" s="946"/>
      <c r="D78" s="946"/>
      <c r="E78" s="946"/>
      <c r="F78" s="947"/>
    </row>
    <row r="79" spans="2:12" ht="12.75" customHeight="1" x14ac:dyDescent="0.25">
      <c r="B79" s="919"/>
      <c r="C79" s="8">
        <v>2018</v>
      </c>
      <c r="D79" s="8">
        <v>2019</v>
      </c>
      <c r="E79" s="8">
        <v>2020</v>
      </c>
      <c r="F79" s="8">
        <v>2021</v>
      </c>
    </row>
    <row r="80" spans="2:12" ht="14.25" customHeight="1" thickBot="1" x14ac:dyDescent="0.3">
      <c r="B80" s="920"/>
      <c r="C80" s="9" t="s">
        <v>10</v>
      </c>
      <c r="D80" s="9" t="s">
        <v>11</v>
      </c>
      <c r="E80" s="9" t="s">
        <v>11</v>
      </c>
      <c r="F80" s="9" t="s">
        <v>11</v>
      </c>
    </row>
    <row r="81" spans="2:10" ht="15.75" thickBot="1" x14ac:dyDescent="0.3">
      <c r="B81" s="13" t="s">
        <v>58</v>
      </c>
      <c r="C81" s="14"/>
      <c r="D81" s="14"/>
      <c r="E81" s="14"/>
      <c r="F81" s="14"/>
    </row>
    <row r="82" spans="2:10" ht="15.75" thickBot="1" x14ac:dyDescent="0.3">
      <c r="B82" s="13" t="s">
        <v>59</v>
      </c>
      <c r="C82" s="15">
        <v>250</v>
      </c>
      <c r="D82" s="15">
        <v>250</v>
      </c>
      <c r="E82" s="15">
        <v>250</v>
      </c>
      <c r="F82" s="15">
        <v>250</v>
      </c>
    </row>
    <row r="83" spans="2:10" ht="30" customHeight="1" thickBot="1" x14ac:dyDescent="0.3">
      <c r="B83" s="30" t="s">
        <v>74</v>
      </c>
      <c r="C83" s="15">
        <f>C82+C81</f>
        <v>250</v>
      </c>
      <c r="D83" s="15">
        <f>D82+D81</f>
        <v>250</v>
      </c>
      <c r="E83" s="15">
        <f>E82+E81</f>
        <v>250</v>
      </c>
      <c r="F83" s="15">
        <f>F82+F81</f>
        <v>250</v>
      </c>
    </row>
    <row r="84" spans="2:10" ht="42.75" customHeight="1" thickBot="1" x14ac:dyDescent="0.3">
      <c r="B84" s="1748" t="s">
        <v>82</v>
      </c>
      <c r="C84" s="23">
        <v>46100</v>
      </c>
      <c r="D84" s="23">
        <v>51000</v>
      </c>
      <c r="E84" s="23">
        <v>56000</v>
      </c>
      <c r="F84" s="23">
        <v>56500</v>
      </c>
    </row>
    <row r="85" spans="2:10" ht="36.75" thickBot="1" x14ac:dyDescent="0.3">
      <c r="B85" s="1749" t="s">
        <v>84</v>
      </c>
      <c r="C85" s="1750"/>
      <c r="D85" s="1751">
        <v>0.106</v>
      </c>
      <c r="E85" s="1751">
        <v>9.8000000000000004E-2</v>
      </c>
      <c r="F85" s="1751">
        <v>8.9999999999999993E-3</v>
      </c>
    </row>
    <row r="86" spans="2:10" ht="15.75" thickBot="1" x14ac:dyDescent="0.3">
      <c r="B86" s="13" t="s">
        <v>26</v>
      </c>
      <c r="C86" s="757">
        <f>32000000/1000</f>
        <v>32000</v>
      </c>
      <c r="D86" s="757">
        <f>32000000/1000</f>
        <v>32000</v>
      </c>
      <c r="E86" s="757">
        <f>32000000/1000</f>
        <v>32000</v>
      </c>
      <c r="F86" s="757">
        <v>32400</v>
      </c>
    </row>
    <row r="87" spans="2:10" ht="15.75" thickBot="1" x14ac:dyDescent="0.3">
      <c r="B87" s="28" t="s">
        <v>85</v>
      </c>
      <c r="C87" s="15"/>
      <c r="D87" s="29">
        <f>D86/C86-1</f>
        <v>0</v>
      </c>
      <c r="E87" s="29">
        <f>E86/D86-1</f>
        <v>0</v>
      </c>
      <c r="F87" s="85">
        <v>1.2500000000000001E-2</v>
      </c>
      <c r="G87" s="12"/>
      <c r="H87" s="12"/>
      <c r="I87" s="12"/>
      <c r="J87" s="12"/>
    </row>
    <row r="88" spans="2:10" ht="24.75" thickBot="1" x14ac:dyDescent="0.3">
      <c r="B88" s="13" t="s">
        <v>28</v>
      </c>
      <c r="C88" s="14">
        <f>5100000/1000</f>
        <v>5100</v>
      </c>
      <c r="D88" s="14">
        <f t="shared" ref="D88:F88" si="3">5100000/1000</f>
        <v>5100</v>
      </c>
      <c r="E88" s="14">
        <f t="shared" si="3"/>
        <v>5100</v>
      </c>
      <c r="F88" s="14">
        <f t="shared" si="3"/>
        <v>5100</v>
      </c>
    </row>
    <row r="89" spans="2:10" ht="24.75" thickBot="1" x14ac:dyDescent="0.3">
      <c r="B89" s="28" t="s">
        <v>86</v>
      </c>
      <c r="C89" s="15"/>
      <c r="D89" s="29">
        <f>D88/C88-1</f>
        <v>0</v>
      </c>
      <c r="E89" s="29">
        <f>E88/D88-1</f>
        <v>0</v>
      </c>
      <c r="F89" s="29">
        <f>F88/E88-1</f>
        <v>0</v>
      </c>
    </row>
    <row r="90" spans="2:10" ht="15.75" thickBot="1" x14ac:dyDescent="0.3">
      <c r="B90" s="13" t="s">
        <v>30</v>
      </c>
      <c r="C90" s="15">
        <f>8000000/1000</f>
        <v>8000</v>
      </c>
      <c r="D90" s="14">
        <f>12900000/1000</f>
        <v>12900</v>
      </c>
      <c r="E90" s="14">
        <f>17900000/1000</f>
        <v>17900</v>
      </c>
      <c r="F90" s="61">
        <f>18000000/1000</f>
        <v>18000</v>
      </c>
    </row>
    <row r="91" spans="2:10" ht="24.75" thickBot="1" x14ac:dyDescent="0.3">
      <c r="B91" s="28" t="s">
        <v>87</v>
      </c>
      <c r="C91" s="15"/>
      <c r="D91" s="29">
        <f>D90/C90-1</f>
        <v>0.61250000000000004</v>
      </c>
      <c r="E91" s="29">
        <f>E90/D90-1</f>
        <v>0.38759689922480622</v>
      </c>
      <c r="F91" s="86">
        <v>5.5999999999999999E-3</v>
      </c>
    </row>
    <row r="92" spans="2:10" ht="15.75" thickBot="1" x14ac:dyDescent="0.3">
      <c r="B92" s="13" t="s">
        <v>94</v>
      </c>
      <c r="C92" s="14">
        <f>1000000/1000</f>
        <v>1000</v>
      </c>
      <c r="D92" s="14">
        <f t="shared" ref="D92:F92" si="4">1000000/1000</f>
        <v>1000</v>
      </c>
      <c r="E92" s="14">
        <f t="shared" si="4"/>
        <v>1000</v>
      </c>
      <c r="F92" s="14">
        <f t="shared" si="4"/>
        <v>1000</v>
      </c>
    </row>
    <row r="93" spans="2:10" ht="24.75" thickBot="1" x14ac:dyDescent="0.3">
      <c r="B93" s="28" t="s">
        <v>95</v>
      </c>
      <c r="C93" s="15"/>
      <c r="D93" s="29">
        <f>D92/C92-1</f>
        <v>0</v>
      </c>
      <c r="E93" s="29">
        <f>E92/D92-1</f>
        <v>0</v>
      </c>
      <c r="F93" s="29">
        <f>F92/E92-1</f>
        <v>0</v>
      </c>
    </row>
    <row r="94" spans="2:10" ht="15.75" thickBot="1" x14ac:dyDescent="0.3">
      <c r="B94" s="17" t="s">
        <v>41</v>
      </c>
      <c r="C94" s="18"/>
      <c r="D94" s="18"/>
      <c r="E94" s="18"/>
      <c r="F94" s="18"/>
    </row>
    <row r="95" spans="2:10" ht="36.75" thickBot="1" x14ac:dyDescent="0.3">
      <c r="B95" s="30" t="s">
        <v>96</v>
      </c>
      <c r="C95" s="14">
        <v>30</v>
      </c>
      <c r="D95" s="14">
        <v>35</v>
      </c>
      <c r="E95" s="14">
        <v>35</v>
      </c>
      <c r="F95" s="14">
        <v>35</v>
      </c>
    </row>
    <row r="96" spans="2:10" ht="36.75" thickBot="1" x14ac:dyDescent="0.3">
      <c r="B96" s="30" t="s">
        <v>97</v>
      </c>
      <c r="C96" s="14">
        <v>2</v>
      </c>
      <c r="D96" s="14">
        <v>2</v>
      </c>
      <c r="E96" s="14">
        <v>2</v>
      </c>
      <c r="F96" s="14">
        <v>2</v>
      </c>
    </row>
    <row r="97" spans="2:6" x14ac:dyDescent="0.25">
      <c r="B97" s="31"/>
      <c r="C97" s="32"/>
      <c r="D97" s="32"/>
      <c r="E97" s="32"/>
      <c r="F97" s="32"/>
    </row>
  </sheetData>
  <mergeCells count="36">
    <mergeCell ref="B18:F18"/>
    <mergeCell ref="B2:F2"/>
    <mergeCell ref="C4:F4"/>
    <mergeCell ref="C5:F5"/>
    <mergeCell ref="C6:F6"/>
    <mergeCell ref="B7:F7"/>
    <mergeCell ref="B8:F10"/>
    <mergeCell ref="C11:F11"/>
    <mergeCell ref="B12:B13"/>
    <mergeCell ref="C15:F15"/>
    <mergeCell ref="B16:F16"/>
    <mergeCell ref="C47:F47"/>
    <mergeCell ref="B19:F19"/>
    <mergeCell ref="C20:F20"/>
    <mergeCell ref="C21:F21"/>
    <mergeCell ref="C22:F22"/>
    <mergeCell ref="B23:B24"/>
    <mergeCell ref="B31:F31"/>
    <mergeCell ref="B32:B33"/>
    <mergeCell ref="B43:F43"/>
    <mergeCell ref="B44:F44"/>
    <mergeCell ref="C45:F45"/>
    <mergeCell ref="C46:F46"/>
    <mergeCell ref="C48:F48"/>
    <mergeCell ref="B49:B50"/>
    <mergeCell ref="B57:F57"/>
    <mergeCell ref="B58:B59"/>
    <mergeCell ref="B63:B65"/>
    <mergeCell ref="C63:F65"/>
    <mergeCell ref="B79:B80"/>
    <mergeCell ref="C66:F66"/>
    <mergeCell ref="C67:F67"/>
    <mergeCell ref="C68:F68"/>
    <mergeCell ref="C69:F69"/>
    <mergeCell ref="B70:B71"/>
    <mergeCell ref="B78:F78"/>
  </mergeCells>
  <printOptions horizontalCentered="1" verticalCentered="1"/>
  <pageMargins left="0.7" right="0.7" top="0.75" bottom="0.75" header="0.3" footer="0.3"/>
  <pageSetup scale="90" fitToWidth="0" fitToHeight="0" orientation="landscape" r:id="rId1"/>
  <rowBreaks count="1" manualBreakCount="1">
    <brk id="42"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23"/>
  <sheetViews>
    <sheetView tabSelected="1" zoomScale="120" zoomScaleNormal="120" workbookViewId="0">
      <selection activeCell="D300" sqref="D300"/>
    </sheetView>
  </sheetViews>
  <sheetFormatPr defaultRowHeight="15" x14ac:dyDescent="0.25"/>
  <cols>
    <col min="1" max="1" width="11" style="152" customWidth="1"/>
    <col min="2" max="2" width="54.140625" style="152" bestFit="1" customWidth="1"/>
    <col min="3" max="6" width="21.42578125" style="152" customWidth="1"/>
    <col min="7" max="7" width="9.140625" style="152"/>
    <col min="8" max="8" width="18.42578125" style="152" customWidth="1"/>
    <col min="9" max="9" width="11" style="152" customWidth="1"/>
    <col min="10" max="10" width="11" style="152" bestFit="1" customWidth="1"/>
    <col min="11" max="16384" width="9.140625" style="152"/>
  </cols>
  <sheetData>
    <row r="2" spans="2:11" ht="18" customHeight="1" x14ac:dyDescent="0.25">
      <c r="B2" s="762" t="s">
        <v>0</v>
      </c>
      <c r="C2" s="762"/>
      <c r="D2" s="762"/>
      <c r="E2" s="762"/>
      <c r="F2" s="762"/>
      <c r="G2" s="1"/>
    </row>
    <row r="3" spans="2:11" ht="15.75" thickBot="1" x14ac:dyDescent="0.3"/>
    <row r="4" spans="2:11" ht="15.75" thickBot="1" x14ac:dyDescent="0.3">
      <c r="B4" s="153" t="s">
        <v>2</v>
      </c>
      <c r="C4" s="979" t="s">
        <v>435</v>
      </c>
      <c r="D4" s="979"/>
      <c r="E4" s="979"/>
      <c r="F4" s="979"/>
    </row>
    <row r="5" spans="2:11" ht="15.75" thickBot="1" x14ac:dyDescent="0.3">
      <c r="B5" s="153" t="s">
        <v>3</v>
      </c>
      <c r="C5" s="1048" t="s">
        <v>436</v>
      </c>
      <c r="D5" s="981"/>
      <c r="E5" s="981"/>
      <c r="F5" s="982"/>
    </row>
    <row r="6" spans="2:11" ht="15.75" thickBot="1" x14ac:dyDescent="0.3">
      <c r="B6" s="153" t="s">
        <v>5</v>
      </c>
      <c r="C6" s="983" t="s">
        <v>6</v>
      </c>
      <c r="D6" s="984"/>
      <c r="E6" s="984"/>
      <c r="F6" s="985"/>
    </row>
    <row r="7" spans="2:11" ht="15.75" thickBot="1" x14ac:dyDescent="0.3">
      <c r="B7" s="986" t="s">
        <v>7</v>
      </c>
      <c r="C7" s="987"/>
      <c r="D7" s="987"/>
      <c r="E7" s="987"/>
      <c r="F7" s="988"/>
    </row>
    <row r="8" spans="2:11" ht="15.75" thickBot="1" x14ac:dyDescent="0.3">
      <c r="B8" s="1003" t="s">
        <v>437</v>
      </c>
      <c r="C8" s="1004"/>
      <c r="D8" s="1004"/>
      <c r="E8" s="1004"/>
      <c r="F8" s="1005"/>
    </row>
    <row r="9" spans="2:11" ht="36.75" customHeight="1" thickBot="1" x14ac:dyDescent="0.3">
      <c r="B9" s="1003"/>
      <c r="C9" s="1004"/>
      <c r="D9" s="1004"/>
      <c r="E9" s="1004"/>
      <c r="F9" s="1005"/>
    </row>
    <row r="10" spans="2:11" ht="52.5" customHeight="1" thickBot="1" x14ac:dyDescent="0.3">
      <c r="B10" s="1003"/>
      <c r="C10" s="1004"/>
      <c r="D10" s="1004"/>
      <c r="E10" s="1004"/>
      <c r="F10" s="1005"/>
    </row>
    <row r="11" spans="2:11" ht="45" customHeight="1" thickBot="1" x14ac:dyDescent="0.3">
      <c r="B11" s="154" t="s">
        <v>8</v>
      </c>
      <c r="C11" s="1006" t="s">
        <v>438</v>
      </c>
      <c r="D11" s="993"/>
      <c r="E11" s="993"/>
      <c r="F11" s="994"/>
    </row>
    <row r="12" spans="2:11" ht="34.5" customHeight="1" x14ac:dyDescent="0.25">
      <c r="B12" s="998" t="s">
        <v>102</v>
      </c>
      <c r="C12" s="155">
        <v>2018</v>
      </c>
      <c r="D12" s="155">
        <v>2019</v>
      </c>
      <c r="E12" s="155">
        <v>2020</v>
      </c>
      <c r="F12" s="155">
        <v>2021</v>
      </c>
    </row>
    <row r="13" spans="2:11" ht="15.75" thickBot="1" x14ac:dyDescent="0.3">
      <c r="B13" s="999"/>
      <c r="C13" s="156" t="s">
        <v>10</v>
      </c>
      <c r="D13" s="156" t="s">
        <v>11</v>
      </c>
      <c r="E13" s="156" t="s">
        <v>11</v>
      </c>
      <c r="F13" s="156" t="s">
        <v>11</v>
      </c>
    </row>
    <row r="14" spans="2:11" ht="81" customHeight="1" thickBot="1" x14ac:dyDescent="0.3">
      <c r="B14" s="146" t="s">
        <v>439</v>
      </c>
      <c r="C14" s="157">
        <v>0.55000000000000004</v>
      </c>
      <c r="D14" s="157">
        <v>0.56000000000000005</v>
      </c>
      <c r="E14" s="157">
        <v>0.56999999999999995</v>
      </c>
      <c r="F14" s="157">
        <v>0.57999999999999996</v>
      </c>
    </row>
    <row r="15" spans="2:11" ht="15.75" thickBot="1" x14ac:dyDescent="0.3">
      <c r="B15" s="158" t="s">
        <v>12</v>
      </c>
      <c r="C15" s="1007" t="s">
        <v>440</v>
      </c>
      <c r="D15" s="1006"/>
      <c r="E15" s="1006"/>
      <c r="F15" s="1008"/>
    </row>
    <row r="16" spans="2:11" ht="23.25" customHeight="1" thickBot="1" x14ac:dyDescent="0.3">
      <c r="B16" s="983" t="s">
        <v>103</v>
      </c>
      <c r="C16" s="984"/>
      <c r="D16" s="984"/>
      <c r="E16" s="984"/>
      <c r="F16" s="985"/>
      <c r="I16" s="159"/>
      <c r="K16" s="159"/>
    </row>
    <row r="17" spans="2:12" ht="15.75" thickBot="1" x14ac:dyDescent="0.3">
      <c r="B17" s="146" t="s">
        <v>441</v>
      </c>
      <c r="C17" s="157">
        <v>0.04</v>
      </c>
      <c r="D17" s="157">
        <v>0.05</v>
      </c>
      <c r="E17" s="157">
        <v>0.06</v>
      </c>
      <c r="F17" s="157">
        <v>7.0000000000000007E-2</v>
      </c>
    </row>
    <row r="18" spans="2:12" ht="15.75" thickBot="1" x14ac:dyDescent="0.3">
      <c r="B18" s="62" t="s">
        <v>442</v>
      </c>
      <c r="C18" s="157">
        <v>0.96</v>
      </c>
      <c r="D18" s="157">
        <v>0.95</v>
      </c>
      <c r="E18" s="157">
        <v>0.94</v>
      </c>
      <c r="F18" s="157">
        <v>0.93</v>
      </c>
    </row>
    <row r="19" spans="2:12" ht="15.75" thickBot="1" x14ac:dyDescent="0.3">
      <c r="B19" s="62" t="s">
        <v>443</v>
      </c>
      <c r="C19" s="157">
        <v>0.12</v>
      </c>
      <c r="D19" s="157">
        <v>0.14000000000000001</v>
      </c>
      <c r="E19" s="157">
        <v>0.16</v>
      </c>
      <c r="F19" s="157">
        <v>0.18</v>
      </c>
    </row>
    <row r="20" spans="2:12" ht="30.75" thickBot="1" x14ac:dyDescent="0.3">
      <c r="B20" s="62" t="s">
        <v>444</v>
      </c>
      <c r="C20" s="157">
        <v>0.25</v>
      </c>
      <c r="D20" s="157">
        <v>0.27</v>
      </c>
      <c r="E20" s="157">
        <v>0.28999999999999998</v>
      </c>
      <c r="F20" s="157">
        <v>0.3</v>
      </c>
    </row>
    <row r="21" spans="2:12" ht="77.25" customHeight="1" thickBot="1" x14ac:dyDescent="0.3">
      <c r="B21" s="62" t="s">
        <v>445</v>
      </c>
      <c r="C21" s="157">
        <v>0.55000000000000004</v>
      </c>
      <c r="D21" s="157">
        <v>0.56000000000000005</v>
      </c>
      <c r="E21" s="157">
        <v>0.56999999999999995</v>
      </c>
      <c r="F21" s="157">
        <v>0.57999999999999996</v>
      </c>
    </row>
    <row r="22" spans="2:12" ht="15.75" thickBot="1" x14ac:dyDescent="0.3">
      <c r="B22" s="989" t="s">
        <v>14</v>
      </c>
      <c r="C22" s="990"/>
      <c r="D22" s="990"/>
      <c r="E22" s="990"/>
      <c r="F22" s="991"/>
    </row>
    <row r="23" spans="2:12" ht="15.75" thickBot="1" x14ac:dyDescent="0.3">
      <c r="B23" s="989" t="s">
        <v>104</v>
      </c>
      <c r="C23" s="990"/>
      <c r="D23" s="990"/>
      <c r="E23" s="990"/>
      <c r="F23" s="991"/>
    </row>
    <row r="24" spans="2:12" ht="15.75" thickBot="1" x14ac:dyDescent="0.3">
      <c r="B24" s="160" t="s">
        <v>105</v>
      </c>
      <c r="C24" s="992" t="s">
        <v>446</v>
      </c>
      <c r="D24" s="993"/>
      <c r="E24" s="993"/>
      <c r="F24" s="994"/>
    </row>
    <row r="25" spans="2:12" ht="15.75" thickBot="1" x14ac:dyDescent="0.3">
      <c r="B25" s="62" t="s">
        <v>17</v>
      </c>
      <c r="C25" s="983" t="s">
        <v>447</v>
      </c>
      <c r="D25" s="984"/>
      <c r="E25" s="984"/>
      <c r="F25" s="985"/>
    </row>
    <row r="26" spans="2:12" ht="15.75" thickBot="1" x14ac:dyDescent="0.3">
      <c r="B26" s="62" t="s">
        <v>18</v>
      </c>
      <c r="C26" s="995" t="s">
        <v>448</v>
      </c>
      <c r="D26" s="996"/>
      <c r="E26" s="996"/>
      <c r="F26" s="997"/>
    </row>
    <row r="27" spans="2:12" ht="12.75" customHeight="1" x14ac:dyDescent="0.25">
      <c r="B27" s="998"/>
      <c r="C27" s="63">
        <v>2018</v>
      </c>
      <c r="D27" s="63">
        <v>2019</v>
      </c>
      <c r="E27" s="63">
        <v>2020</v>
      </c>
      <c r="F27" s="63">
        <v>2021</v>
      </c>
    </row>
    <row r="28" spans="2:12" ht="15.75" customHeight="1" thickBot="1" x14ac:dyDescent="0.3">
      <c r="B28" s="999"/>
      <c r="C28" s="64" t="s">
        <v>10</v>
      </c>
      <c r="D28" s="64" t="s">
        <v>11</v>
      </c>
      <c r="E28" s="64" t="s">
        <v>11</v>
      </c>
      <c r="F28" s="64" t="s">
        <v>11</v>
      </c>
    </row>
    <row r="29" spans="2:12" ht="15.75" thickBot="1" x14ac:dyDescent="0.3">
      <c r="B29" s="62" t="s">
        <v>19</v>
      </c>
      <c r="C29" s="161">
        <v>200</v>
      </c>
      <c r="D29" s="161">
        <v>210</v>
      </c>
      <c r="E29" s="161">
        <v>220</v>
      </c>
      <c r="F29" s="161">
        <v>230</v>
      </c>
    </row>
    <row r="30" spans="2:12" ht="15.75" thickBot="1" x14ac:dyDescent="0.3">
      <c r="B30" s="62" t="s">
        <v>20</v>
      </c>
      <c r="C30" s="161">
        <v>13479.75</v>
      </c>
      <c r="D30" s="161">
        <v>13479.75</v>
      </c>
      <c r="E30" s="161">
        <v>13679.75</v>
      </c>
      <c r="F30" s="161">
        <v>13779.75</v>
      </c>
    </row>
    <row r="31" spans="2:12" ht="15.75" thickBot="1" x14ac:dyDescent="0.3">
      <c r="B31" s="62" t="s">
        <v>21</v>
      </c>
      <c r="C31" s="161">
        <f>C30/C29</f>
        <v>67.398750000000007</v>
      </c>
      <c r="D31" s="161">
        <f t="shared" ref="D31:F31" si="0">D30/D29</f>
        <v>64.189285714285717</v>
      </c>
      <c r="E31" s="161">
        <f t="shared" si="0"/>
        <v>62.180681818181817</v>
      </c>
      <c r="F31" s="161">
        <f t="shared" si="0"/>
        <v>59.911956521739128</v>
      </c>
    </row>
    <row r="32" spans="2:12" ht="15.75" thickBot="1" x14ac:dyDescent="0.3">
      <c r="B32" s="62" t="s">
        <v>22</v>
      </c>
      <c r="C32" s="145" t="s">
        <v>23</v>
      </c>
      <c r="D32" s="162">
        <f>D29/C29-1</f>
        <v>5.0000000000000044E-2</v>
      </c>
      <c r="E32" s="162">
        <f t="shared" ref="E32:F34" si="1">E29/D29-1</f>
        <v>4.7619047619047672E-2</v>
      </c>
      <c r="F32" s="162">
        <f t="shared" si="1"/>
        <v>4.5454545454545414E-2</v>
      </c>
      <c r="H32" s="163"/>
      <c r="I32" s="163"/>
      <c r="J32" s="163"/>
      <c r="K32" s="163"/>
      <c r="L32" s="163"/>
    </row>
    <row r="33" spans="2:6" ht="15.75" thickBot="1" x14ac:dyDescent="0.3">
      <c r="B33" s="62" t="s">
        <v>24</v>
      </c>
      <c r="C33" s="145" t="s">
        <v>23</v>
      </c>
      <c r="D33" s="162">
        <f>D30/C30-1</f>
        <v>0</v>
      </c>
      <c r="E33" s="162">
        <f t="shared" si="1"/>
        <v>1.4837070420445464E-2</v>
      </c>
      <c r="F33" s="162">
        <f t="shared" si="1"/>
        <v>7.3100751110217743E-3</v>
      </c>
    </row>
    <row r="34" spans="2:6" ht="15.75" thickBot="1" x14ac:dyDescent="0.3">
      <c r="B34" s="62" t="s">
        <v>25</v>
      </c>
      <c r="C34" s="145" t="s">
        <v>23</v>
      </c>
      <c r="D34" s="162">
        <f>D31/C31-1</f>
        <v>-4.7619047619047672E-2</v>
      </c>
      <c r="E34" s="162">
        <f t="shared" si="1"/>
        <v>-3.1291887325938461E-2</v>
      </c>
      <c r="F34" s="162">
        <f t="shared" si="1"/>
        <v>-3.6486015111196646E-2</v>
      </c>
    </row>
    <row r="35" spans="2:6" ht="15.75" thickBot="1" x14ac:dyDescent="0.3">
      <c r="B35" s="1000" t="s">
        <v>784</v>
      </c>
      <c r="C35" s="1001"/>
      <c r="D35" s="1001"/>
      <c r="E35" s="1001"/>
      <c r="F35" s="1002"/>
    </row>
    <row r="36" spans="2:6" ht="12.75" customHeight="1"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15.75" thickBot="1" x14ac:dyDescent="0.3">
      <c r="B38" s="65" t="s">
        <v>26</v>
      </c>
      <c r="C38" s="164">
        <v>9250</v>
      </c>
      <c r="D38" s="164">
        <v>9250</v>
      </c>
      <c r="E38" s="164">
        <v>9250</v>
      </c>
      <c r="F38" s="164">
        <v>9250</v>
      </c>
    </row>
    <row r="39" spans="2:6" ht="15.75" thickBot="1" x14ac:dyDescent="0.3">
      <c r="B39" s="65" t="s">
        <v>28</v>
      </c>
      <c r="C39" s="164">
        <v>1544.75</v>
      </c>
      <c r="D39" s="164">
        <v>1544.75</v>
      </c>
      <c r="E39" s="164">
        <v>1544.75</v>
      </c>
      <c r="F39" s="164">
        <v>1544.75</v>
      </c>
    </row>
    <row r="40" spans="2:6" ht="15.75" thickBot="1" x14ac:dyDescent="0.3">
      <c r="B40" s="65" t="s">
        <v>30</v>
      </c>
      <c r="C40" s="165">
        <v>2625</v>
      </c>
      <c r="D40" s="165">
        <v>2625</v>
      </c>
      <c r="E40" s="165">
        <v>2825</v>
      </c>
      <c r="F40" s="165">
        <v>2925</v>
      </c>
    </row>
    <row r="41" spans="2:6" ht="15.75" thickBot="1" x14ac:dyDescent="0.3">
      <c r="B41" s="65" t="s">
        <v>32</v>
      </c>
      <c r="C41" s="165">
        <v>0</v>
      </c>
      <c r="D41" s="164">
        <v>0</v>
      </c>
      <c r="E41" s="164">
        <v>0</v>
      </c>
      <c r="F41" s="164">
        <v>0</v>
      </c>
    </row>
    <row r="42" spans="2:6" ht="15.75" thickBot="1" x14ac:dyDescent="0.3">
      <c r="B42" s="65" t="s">
        <v>34</v>
      </c>
      <c r="C42" s="165">
        <v>0</v>
      </c>
      <c r="D42" s="164">
        <v>0</v>
      </c>
      <c r="E42" s="164">
        <v>0</v>
      </c>
      <c r="F42" s="164">
        <v>0</v>
      </c>
    </row>
    <row r="43" spans="2:6" ht="15.75" thickBot="1" x14ac:dyDescent="0.3">
      <c r="B43" s="65" t="s">
        <v>36</v>
      </c>
      <c r="C43" s="165">
        <v>0</v>
      </c>
      <c r="D43" s="164">
        <v>0</v>
      </c>
      <c r="E43" s="164">
        <v>0</v>
      </c>
      <c r="F43" s="164">
        <v>0</v>
      </c>
    </row>
    <row r="44" spans="2:6" ht="15.75" thickBot="1" x14ac:dyDescent="0.3">
      <c r="B44" s="65" t="s">
        <v>38</v>
      </c>
      <c r="C44" s="165">
        <v>60</v>
      </c>
      <c r="D44" s="165">
        <v>60</v>
      </c>
      <c r="E44" s="165">
        <v>60</v>
      </c>
      <c r="F44" s="165">
        <v>60</v>
      </c>
    </row>
    <row r="45" spans="2:6" ht="15.75" thickBot="1" x14ac:dyDescent="0.3">
      <c r="B45" s="66" t="s">
        <v>40</v>
      </c>
      <c r="C45" s="164">
        <f>C44+C43+C42+C41+C40+C39+C38</f>
        <v>13479.75</v>
      </c>
      <c r="D45" s="164">
        <f>D44+D43+D42+D41+D40+D39+D38</f>
        <v>13479.75</v>
      </c>
      <c r="E45" s="164">
        <f>E44+E43+E42+E41+E40+E39+E38</f>
        <v>13679.75</v>
      </c>
      <c r="F45" s="164">
        <f>F44+F43+F42+F41+F40+F39+F38</f>
        <v>13779.75</v>
      </c>
    </row>
    <row r="46" spans="2:6" ht="15.75" thickBot="1" x14ac:dyDescent="0.3">
      <c r="B46" s="166" t="s">
        <v>41</v>
      </c>
      <c r="C46" s="167">
        <f>IF(C45-C30=0,0,"Error")</f>
        <v>0</v>
      </c>
      <c r="D46" s="167">
        <f>IF(D45-D30=0,0,"Error")</f>
        <v>0</v>
      </c>
      <c r="E46" s="167">
        <f>IF(E45-E30=0,0,"Error")</f>
        <v>0</v>
      </c>
      <c r="F46" s="167">
        <f>IF(F45-F30=0,0,"Error")</f>
        <v>0</v>
      </c>
    </row>
    <row r="47" spans="2:6" ht="26.25" customHeight="1" thickBot="1" x14ac:dyDescent="0.3">
      <c r="B47" s="218" t="s">
        <v>449</v>
      </c>
      <c r="C47" s="1007" t="s">
        <v>450</v>
      </c>
      <c r="D47" s="1006"/>
      <c r="E47" s="1006"/>
      <c r="F47" s="1008"/>
    </row>
    <row r="48" spans="2:6" ht="31.5" customHeight="1" thickBot="1" x14ac:dyDescent="0.3">
      <c r="B48" s="62" t="s">
        <v>17</v>
      </c>
      <c r="C48" s="983" t="s">
        <v>451</v>
      </c>
      <c r="D48" s="984"/>
      <c r="E48" s="984"/>
      <c r="F48" s="985"/>
    </row>
    <row r="49" spans="2:6" ht="15.75" thickBot="1" x14ac:dyDescent="0.3">
      <c r="B49" s="62" t="s">
        <v>18</v>
      </c>
      <c r="C49" s="995" t="s">
        <v>111</v>
      </c>
      <c r="D49" s="996"/>
      <c r="E49" s="996"/>
      <c r="F49" s="997"/>
    </row>
    <row r="50" spans="2:6" ht="15.75" thickBot="1" x14ac:dyDescent="0.3">
      <c r="B50" s="62" t="s">
        <v>19</v>
      </c>
      <c r="C50" s="161">
        <v>60</v>
      </c>
      <c r="D50" s="161">
        <v>70</v>
      </c>
      <c r="E50" s="161">
        <v>80</v>
      </c>
      <c r="F50" s="161">
        <v>90</v>
      </c>
    </row>
    <row r="51" spans="2:6" ht="12.75" customHeight="1" x14ac:dyDescent="0.25">
      <c r="B51" s="998"/>
      <c r="C51" s="63">
        <v>2018</v>
      </c>
      <c r="D51" s="63">
        <v>2019</v>
      </c>
      <c r="E51" s="63">
        <v>2020</v>
      </c>
      <c r="F51" s="63">
        <v>2021</v>
      </c>
    </row>
    <row r="52" spans="2:6" ht="15.75" thickBot="1" x14ac:dyDescent="0.3">
      <c r="B52" s="999"/>
      <c r="C52" s="64" t="s">
        <v>10</v>
      </c>
      <c r="D52" s="64" t="s">
        <v>11</v>
      </c>
      <c r="E52" s="64" t="s">
        <v>11</v>
      </c>
      <c r="F52" s="64" t="s">
        <v>11</v>
      </c>
    </row>
    <row r="53" spans="2:6" ht="15.75" thickBot="1" x14ac:dyDescent="0.3">
      <c r="B53" s="62" t="s">
        <v>20</v>
      </c>
      <c r="C53" s="161">
        <v>16209.754999999999</v>
      </c>
      <c r="D53" s="161">
        <v>16209.754999999999</v>
      </c>
      <c r="E53" s="161">
        <v>16409.755000000001</v>
      </c>
      <c r="F53" s="161">
        <v>16509.755000000001</v>
      </c>
    </row>
    <row r="54" spans="2:6" ht="15.75" thickBot="1" x14ac:dyDescent="0.3">
      <c r="B54" s="62" t="s">
        <v>21</v>
      </c>
      <c r="C54" s="161">
        <f>C53/C50</f>
        <v>270.16258333333332</v>
      </c>
      <c r="D54" s="161">
        <f>D53/D50</f>
        <v>231.56792857142855</v>
      </c>
      <c r="E54" s="161">
        <f>E53/E50</f>
        <v>205.1219375</v>
      </c>
      <c r="F54" s="161">
        <f>F53/F50</f>
        <v>183.44172222222224</v>
      </c>
    </row>
    <row r="55" spans="2:6" ht="15.75" thickBot="1" x14ac:dyDescent="0.3">
      <c r="B55" s="62" t="s">
        <v>22</v>
      </c>
      <c r="C55" s="145"/>
      <c r="D55" s="162">
        <f>D50/C50-1</f>
        <v>0.16666666666666674</v>
      </c>
      <c r="E55" s="162">
        <f>E50/D50-1</f>
        <v>0.14285714285714279</v>
      </c>
      <c r="F55" s="162">
        <f>F50/E50-1</f>
        <v>0.125</v>
      </c>
    </row>
    <row r="56" spans="2:6" ht="15.75" thickBot="1" x14ac:dyDescent="0.3">
      <c r="B56" s="62" t="s">
        <v>24</v>
      </c>
      <c r="C56" s="145"/>
      <c r="D56" s="162">
        <f>D53/C53-1</f>
        <v>0</v>
      </c>
      <c r="E56" s="162">
        <f t="shared" ref="E56:F57" si="2">E53/D53-1</f>
        <v>1.2338249405990487E-2</v>
      </c>
      <c r="F56" s="162">
        <f t="shared" si="2"/>
        <v>6.0939361983161078E-3</v>
      </c>
    </row>
    <row r="57" spans="2:6" ht="15.75" thickBot="1" x14ac:dyDescent="0.3">
      <c r="B57" s="62" t="s">
        <v>25</v>
      </c>
      <c r="C57" s="145"/>
      <c r="D57" s="162">
        <f>D54/C54-1</f>
        <v>-0.1428571428571429</v>
      </c>
      <c r="E57" s="162">
        <f t="shared" si="2"/>
        <v>-0.11420403176975835</v>
      </c>
      <c r="F57" s="162">
        <f t="shared" si="2"/>
        <v>-0.10569427893482997</v>
      </c>
    </row>
    <row r="58" spans="2:6" ht="15.75" thickBot="1" x14ac:dyDescent="0.3">
      <c r="B58" s="1000" t="s">
        <v>796</v>
      </c>
      <c r="C58" s="1001"/>
      <c r="D58" s="1001"/>
      <c r="E58" s="1001"/>
      <c r="F58" s="1002"/>
    </row>
    <row r="59" spans="2:6" ht="12.75" customHeight="1" x14ac:dyDescent="0.25">
      <c r="B59" s="998"/>
      <c r="C59" s="63">
        <v>2018</v>
      </c>
      <c r="D59" s="63">
        <v>2019</v>
      </c>
      <c r="E59" s="63">
        <v>2020</v>
      </c>
      <c r="F59" s="63">
        <v>2021</v>
      </c>
    </row>
    <row r="60" spans="2:6" ht="15.75" thickBot="1" x14ac:dyDescent="0.3">
      <c r="B60" s="999"/>
      <c r="C60" s="64" t="s">
        <v>10</v>
      </c>
      <c r="D60" s="64" t="s">
        <v>11</v>
      </c>
      <c r="E60" s="64" t="s">
        <v>11</v>
      </c>
      <c r="F60" s="64" t="s">
        <v>11</v>
      </c>
    </row>
    <row r="61" spans="2:6" ht="24.75" customHeight="1" thickBot="1" x14ac:dyDescent="0.3">
      <c r="B61" s="65" t="s">
        <v>26</v>
      </c>
      <c r="C61" s="164">
        <v>11765</v>
      </c>
      <c r="D61" s="164">
        <v>11765</v>
      </c>
      <c r="E61" s="164">
        <v>11765</v>
      </c>
      <c r="F61" s="164">
        <v>11765</v>
      </c>
    </row>
    <row r="62" spans="2:6" ht="24.75" customHeight="1" thickBot="1" x14ac:dyDescent="0.3">
      <c r="B62" s="65" t="s">
        <v>28</v>
      </c>
      <c r="C62" s="164">
        <v>1964.7550000000001</v>
      </c>
      <c r="D62" s="164">
        <v>1964.7550000000001</v>
      </c>
      <c r="E62" s="164">
        <v>1964.7550000000001</v>
      </c>
      <c r="F62" s="164">
        <v>1964.7550000000001</v>
      </c>
    </row>
    <row r="63" spans="2:6" ht="24.75" customHeight="1" thickBot="1" x14ac:dyDescent="0.3">
      <c r="B63" s="65" t="s">
        <v>30</v>
      </c>
      <c r="C63" s="165">
        <v>2420</v>
      </c>
      <c r="D63" s="164">
        <v>2420</v>
      </c>
      <c r="E63" s="164">
        <v>2620</v>
      </c>
      <c r="F63" s="164">
        <v>2720</v>
      </c>
    </row>
    <row r="64" spans="2:6" ht="15.75" thickBot="1" x14ac:dyDescent="0.3">
      <c r="B64" s="65" t="s">
        <v>32</v>
      </c>
      <c r="C64" s="165">
        <v>0</v>
      </c>
      <c r="D64" s="164">
        <v>0</v>
      </c>
      <c r="E64" s="164">
        <v>0</v>
      </c>
      <c r="F64" s="164">
        <v>0</v>
      </c>
    </row>
    <row r="65" spans="2:6" ht="15.75" thickBot="1" x14ac:dyDescent="0.3">
      <c r="B65" s="65" t="s">
        <v>34</v>
      </c>
      <c r="C65" s="165">
        <v>0</v>
      </c>
      <c r="D65" s="164">
        <v>0</v>
      </c>
      <c r="E65" s="164">
        <v>0</v>
      </c>
      <c r="F65" s="164">
        <v>0</v>
      </c>
    </row>
    <row r="66" spans="2:6" ht="15.75" thickBot="1" x14ac:dyDescent="0.3">
      <c r="B66" s="65" t="s">
        <v>36</v>
      </c>
      <c r="C66" s="165">
        <v>0</v>
      </c>
      <c r="D66" s="164">
        <v>0</v>
      </c>
      <c r="E66" s="164">
        <v>0</v>
      </c>
      <c r="F66" s="164">
        <v>0</v>
      </c>
    </row>
    <row r="67" spans="2:6" ht="15.75" thickBot="1" x14ac:dyDescent="0.3">
      <c r="B67" s="65" t="s">
        <v>38</v>
      </c>
      <c r="C67" s="165">
        <v>60</v>
      </c>
      <c r="D67" s="165">
        <v>60</v>
      </c>
      <c r="E67" s="165">
        <v>60</v>
      </c>
      <c r="F67" s="165">
        <v>60</v>
      </c>
    </row>
    <row r="68" spans="2:6" ht="15.75" thickBot="1" x14ac:dyDescent="0.3">
      <c r="B68" s="196" t="s">
        <v>43</v>
      </c>
      <c r="C68" s="165">
        <f>C67+C66+C65+C64+C63+C62+C61</f>
        <v>16209.755000000001</v>
      </c>
      <c r="D68" s="165">
        <f>D67+D66+D65+D64+D63+D62+D61</f>
        <v>16209.755000000001</v>
      </c>
      <c r="E68" s="165">
        <f>E67+E66+E65+E64+E63+E62+E61</f>
        <v>16409.755000000001</v>
      </c>
      <c r="F68" s="165">
        <f>F67+F66+F65+F64+F63+F62+F61</f>
        <v>16509.755000000001</v>
      </c>
    </row>
    <row r="69" spans="2:6" ht="17.25" customHeight="1" thickBot="1" x14ac:dyDescent="0.3">
      <c r="B69" s="166" t="s">
        <v>41</v>
      </c>
      <c r="C69" s="167" t="str">
        <f>IF(C68-C53=0,0,"Error")</f>
        <v>Error</v>
      </c>
      <c r="D69" s="167" t="str">
        <f>IF(D68-D53=0,0,"Error")</f>
        <v>Error</v>
      </c>
      <c r="E69" s="167">
        <f>IF(E68-E53=0,0,"Error")</f>
        <v>0</v>
      </c>
      <c r="F69" s="167">
        <f>IF(F68-F53=0,0,"Error")</f>
        <v>0</v>
      </c>
    </row>
    <row r="70" spans="2:6" ht="15.75" thickBot="1" x14ac:dyDescent="0.3">
      <c r="B70" s="989" t="s">
        <v>63</v>
      </c>
      <c r="C70" s="990"/>
      <c r="D70" s="990"/>
      <c r="E70" s="990"/>
      <c r="F70" s="991"/>
    </row>
    <row r="71" spans="2:6" ht="15.75" thickBot="1" x14ac:dyDescent="0.3">
      <c r="B71" s="989" t="s">
        <v>56</v>
      </c>
      <c r="C71" s="990"/>
      <c r="D71" s="990"/>
      <c r="E71" s="990"/>
      <c r="F71" s="991"/>
    </row>
    <row r="72" spans="2:6" ht="15.75" thickBot="1" x14ac:dyDescent="0.3">
      <c r="B72" s="67" t="s">
        <v>79</v>
      </c>
      <c r="C72" s="1009" t="s">
        <v>130</v>
      </c>
      <c r="D72" s="1010"/>
      <c r="E72" s="1010"/>
      <c r="F72" s="1011"/>
    </row>
    <row r="73" spans="2:6" ht="15.75" thickBot="1" x14ac:dyDescent="0.3">
      <c r="B73" s="160" t="s">
        <v>16</v>
      </c>
      <c r="C73" s="992" t="s">
        <v>106</v>
      </c>
      <c r="D73" s="993"/>
      <c r="E73" s="993"/>
      <c r="F73" s="994"/>
    </row>
    <row r="74" spans="2:6" ht="17.25" customHeight="1" thickBot="1" x14ac:dyDescent="0.3">
      <c r="B74" s="62" t="s">
        <v>17</v>
      </c>
      <c r="C74" s="983" t="s">
        <v>106</v>
      </c>
      <c r="D74" s="984"/>
      <c r="E74" s="984"/>
      <c r="F74" s="985"/>
    </row>
    <row r="75" spans="2:6" ht="15.75" thickBot="1" x14ac:dyDescent="0.3">
      <c r="B75" s="62" t="s">
        <v>18</v>
      </c>
      <c r="C75" s="995" t="s">
        <v>106</v>
      </c>
      <c r="D75" s="996"/>
      <c r="E75" s="996"/>
      <c r="F75" s="997"/>
    </row>
    <row r="76" spans="2:6" ht="12.75" customHeight="1" x14ac:dyDescent="0.25">
      <c r="B76" s="998"/>
      <c r="C76" s="63">
        <v>2018</v>
      </c>
      <c r="D76" s="63">
        <v>2019</v>
      </c>
      <c r="E76" s="63">
        <v>2020</v>
      </c>
      <c r="F76" s="63">
        <v>2021</v>
      </c>
    </row>
    <row r="77" spans="2:6" ht="9" customHeight="1" thickBot="1" x14ac:dyDescent="0.3">
      <c r="B77" s="999"/>
      <c r="C77" s="64" t="s">
        <v>10</v>
      </c>
      <c r="D77" s="64" t="s">
        <v>11</v>
      </c>
      <c r="E77" s="64" t="s">
        <v>11</v>
      </c>
      <c r="F77" s="64" t="s">
        <v>11</v>
      </c>
    </row>
    <row r="78" spans="2:6" ht="15.75" thickBot="1" x14ac:dyDescent="0.3">
      <c r="B78" s="62" t="s">
        <v>19</v>
      </c>
      <c r="C78" s="161"/>
      <c r="D78" s="161"/>
      <c r="E78" s="161"/>
      <c r="F78" s="161"/>
    </row>
    <row r="79" spans="2:6" ht="15.75" thickBot="1" x14ac:dyDescent="0.3">
      <c r="B79" s="62" t="s">
        <v>20</v>
      </c>
      <c r="C79" s="161"/>
      <c r="D79" s="161"/>
      <c r="E79" s="161"/>
      <c r="F79" s="161"/>
    </row>
    <row r="80" spans="2:6" ht="15.75" thickBot="1" x14ac:dyDescent="0.3">
      <c r="B80" s="62" t="s">
        <v>21</v>
      </c>
      <c r="C80" s="161" t="e">
        <f>C79/C78</f>
        <v>#DIV/0!</v>
      </c>
      <c r="D80" s="161" t="e">
        <f t="shared" ref="D80:F80" si="3">D79/D78</f>
        <v>#DIV/0!</v>
      </c>
      <c r="E80" s="161" t="e">
        <f t="shared" si="3"/>
        <v>#DIV/0!</v>
      </c>
      <c r="F80" s="161" t="e">
        <f t="shared" si="3"/>
        <v>#DIV/0!</v>
      </c>
    </row>
    <row r="81" spans="2:12" ht="15.75" thickBot="1" x14ac:dyDescent="0.3">
      <c r="B81" s="62" t="s">
        <v>22</v>
      </c>
      <c r="C81" s="145" t="s">
        <v>23</v>
      </c>
      <c r="D81" s="162" t="e">
        <f>D78/C78-1</f>
        <v>#DIV/0!</v>
      </c>
      <c r="E81" s="162" t="e">
        <f t="shared" ref="E81:F83" si="4">E78/D78-1</f>
        <v>#DIV/0!</v>
      </c>
      <c r="F81" s="162" t="e">
        <f t="shared" si="4"/>
        <v>#DIV/0!</v>
      </c>
      <c r="H81" s="163"/>
      <c r="I81" s="163"/>
      <c r="J81" s="163"/>
      <c r="K81" s="163"/>
      <c r="L81" s="163"/>
    </row>
    <row r="82" spans="2:12" ht="15.75" thickBot="1" x14ac:dyDescent="0.3">
      <c r="B82" s="62" t="s">
        <v>24</v>
      </c>
      <c r="C82" s="145" t="s">
        <v>23</v>
      </c>
      <c r="D82" s="162" t="e">
        <f>D79/C79-1</f>
        <v>#DIV/0!</v>
      </c>
      <c r="E82" s="162" t="e">
        <f t="shared" si="4"/>
        <v>#DIV/0!</v>
      </c>
      <c r="F82" s="162" t="e">
        <f t="shared" si="4"/>
        <v>#DIV/0!</v>
      </c>
    </row>
    <row r="83" spans="2:12" ht="15.75" thickBot="1" x14ac:dyDescent="0.3">
      <c r="B83" s="62" t="s">
        <v>25</v>
      </c>
      <c r="C83" s="145" t="s">
        <v>23</v>
      </c>
      <c r="D83" s="162" t="e">
        <f>D80/C80-1</f>
        <v>#DIV/0!</v>
      </c>
      <c r="E83" s="162" t="e">
        <f t="shared" si="4"/>
        <v>#DIV/0!</v>
      </c>
      <c r="F83" s="162" t="e">
        <f t="shared" si="4"/>
        <v>#DIV/0!</v>
      </c>
    </row>
    <row r="84" spans="2:12" ht="15.75" thickBot="1" x14ac:dyDescent="0.3">
      <c r="B84" s="1000" t="s">
        <v>784</v>
      </c>
      <c r="C84" s="1001"/>
      <c r="D84" s="1001"/>
      <c r="E84" s="1001"/>
      <c r="F84" s="1002"/>
    </row>
    <row r="85" spans="2:12" ht="12.75" customHeight="1" x14ac:dyDescent="0.25">
      <c r="B85" s="998"/>
      <c r="C85" s="63">
        <v>2018</v>
      </c>
      <c r="D85" s="63">
        <v>2019</v>
      </c>
      <c r="E85" s="63">
        <v>2020</v>
      </c>
      <c r="F85" s="63">
        <v>2021</v>
      </c>
    </row>
    <row r="86" spans="2:12" ht="20.25" customHeight="1" thickBot="1" x14ac:dyDescent="0.3">
      <c r="B86" s="999"/>
      <c r="C86" s="64" t="s">
        <v>10</v>
      </c>
      <c r="D86" s="64" t="s">
        <v>11</v>
      </c>
      <c r="E86" s="64" t="s">
        <v>11</v>
      </c>
      <c r="F86" s="64" t="s">
        <v>11</v>
      </c>
    </row>
    <row r="87" spans="2:12" ht="29.25" customHeight="1" thickBot="1" x14ac:dyDescent="0.3">
      <c r="B87" s="65" t="s">
        <v>58</v>
      </c>
      <c r="C87" s="164"/>
      <c r="D87" s="164"/>
      <c r="E87" s="164"/>
      <c r="F87" s="164"/>
    </row>
    <row r="88" spans="2:12" ht="15.75" thickBot="1" x14ac:dyDescent="0.3">
      <c r="B88" s="65" t="s">
        <v>59</v>
      </c>
      <c r="C88" s="165"/>
      <c r="D88" s="164"/>
      <c r="E88" s="164"/>
      <c r="F88" s="164"/>
    </row>
    <row r="89" spans="2:12" ht="30" customHeight="1" thickBot="1" x14ac:dyDescent="0.3">
      <c r="B89" s="66" t="s">
        <v>40</v>
      </c>
      <c r="C89" s="165">
        <f>C88+C87</f>
        <v>0</v>
      </c>
      <c r="D89" s="165">
        <f t="shared" ref="D89:F89" si="5">D88+D87</f>
        <v>0</v>
      </c>
      <c r="E89" s="165">
        <f t="shared" si="5"/>
        <v>0</v>
      </c>
      <c r="F89" s="165">
        <f t="shared" si="5"/>
        <v>0</v>
      </c>
    </row>
    <row r="90" spans="2:12" x14ac:dyDescent="0.25">
      <c r="B90" s="1015" t="s">
        <v>60</v>
      </c>
      <c r="C90" s="1036"/>
      <c r="D90" s="1037"/>
      <c r="E90" s="1037"/>
      <c r="F90" s="1038"/>
    </row>
    <row r="91" spans="2:12" x14ac:dyDescent="0.25">
      <c r="B91" s="1016"/>
      <c r="C91" s="1039"/>
      <c r="D91" s="1040"/>
      <c r="E91" s="1040"/>
      <c r="F91" s="1041"/>
    </row>
    <row r="92" spans="2:12" ht="15.75" thickBot="1" x14ac:dyDescent="0.3">
      <c r="B92" s="1017"/>
      <c r="C92" s="1042"/>
      <c r="D92" s="1043"/>
      <c r="E92" s="1043"/>
      <c r="F92" s="1044"/>
    </row>
    <row r="93" spans="2:12" ht="15.75" thickBot="1" x14ac:dyDescent="0.3">
      <c r="B93" s="67" t="s">
        <v>61</v>
      </c>
      <c r="C93" s="1009" t="s">
        <v>130</v>
      </c>
      <c r="D93" s="1010"/>
      <c r="E93" s="1010"/>
      <c r="F93" s="1011"/>
    </row>
    <row r="94" spans="2:12" ht="15.75" thickBot="1" x14ac:dyDescent="0.3">
      <c r="B94" s="160" t="s">
        <v>129</v>
      </c>
      <c r="C94" s="992" t="s">
        <v>106</v>
      </c>
      <c r="D94" s="993"/>
      <c r="E94" s="993"/>
      <c r="F94" s="994"/>
    </row>
    <row r="95" spans="2:12" ht="17.25" customHeight="1" thickBot="1" x14ac:dyDescent="0.3">
      <c r="B95" s="62" t="s">
        <v>17</v>
      </c>
      <c r="C95" s="983" t="s">
        <v>106</v>
      </c>
      <c r="D95" s="984"/>
      <c r="E95" s="984"/>
      <c r="F95" s="985"/>
    </row>
    <row r="96" spans="2:12" ht="15.75" thickBot="1" x14ac:dyDescent="0.3">
      <c r="B96" s="62" t="s">
        <v>18</v>
      </c>
      <c r="C96" s="995" t="s">
        <v>106</v>
      </c>
      <c r="D96" s="996"/>
      <c r="E96" s="996"/>
      <c r="F96" s="997"/>
    </row>
    <row r="97" spans="2:12" ht="12.75" customHeight="1" x14ac:dyDescent="0.25">
      <c r="B97" s="998"/>
      <c r="C97" s="63">
        <v>2018</v>
      </c>
      <c r="D97" s="63">
        <v>2019</v>
      </c>
      <c r="E97" s="63">
        <v>2020</v>
      </c>
      <c r="F97" s="63">
        <v>2021</v>
      </c>
    </row>
    <row r="98" spans="2:12" ht="22.5" customHeight="1" thickBot="1" x14ac:dyDescent="0.3">
      <c r="B98" s="999"/>
      <c r="C98" s="64" t="s">
        <v>10</v>
      </c>
      <c r="D98" s="64" t="s">
        <v>11</v>
      </c>
      <c r="E98" s="64" t="s">
        <v>11</v>
      </c>
      <c r="F98" s="64" t="s">
        <v>11</v>
      </c>
    </row>
    <row r="99" spans="2:12" ht="15.75" thickBot="1" x14ac:dyDescent="0.3">
      <c r="B99" s="62" t="s">
        <v>19</v>
      </c>
      <c r="C99" s="161"/>
      <c r="D99" s="161"/>
      <c r="E99" s="161"/>
      <c r="F99" s="161"/>
    </row>
    <row r="100" spans="2:12" ht="15.75" thickBot="1" x14ac:dyDescent="0.3">
      <c r="B100" s="62" t="s">
        <v>20</v>
      </c>
      <c r="C100" s="161"/>
      <c r="D100" s="161"/>
      <c r="E100" s="161"/>
      <c r="F100" s="161"/>
    </row>
    <row r="101" spans="2:12" ht="15.75" thickBot="1" x14ac:dyDescent="0.3">
      <c r="B101" s="62" t="s">
        <v>21</v>
      </c>
      <c r="C101" s="161" t="e">
        <f>C100/C99</f>
        <v>#DIV/0!</v>
      </c>
      <c r="D101" s="161" t="e">
        <f t="shared" ref="D101:F101" si="6">D100/D99</f>
        <v>#DIV/0!</v>
      </c>
      <c r="E101" s="161" t="e">
        <f t="shared" si="6"/>
        <v>#DIV/0!</v>
      </c>
      <c r="F101" s="161" t="e">
        <f t="shared" si="6"/>
        <v>#DIV/0!</v>
      </c>
    </row>
    <row r="102" spans="2:12" ht="15.75" thickBot="1" x14ac:dyDescent="0.3">
      <c r="B102" s="62" t="s">
        <v>22</v>
      </c>
      <c r="C102" s="145" t="s">
        <v>23</v>
      </c>
      <c r="D102" s="162" t="e">
        <f>D99/C99-1</f>
        <v>#DIV/0!</v>
      </c>
      <c r="E102" s="162" t="e">
        <f t="shared" ref="E102:F104" si="7">E99/D99-1</f>
        <v>#DIV/0!</v>
      </c>
      <c r="F102" s="162" t="e">
        <f t="shared" si="7"/>
        <v>#DIV/0!</v>
      </c>
      <c r="H102" s="163"/>
      <c r="I102" s="163"/>
      <c r="J102" s="163"/>
      <c r="K102" s="163"/>
      <c r="L102" s="163"/>
    </row>
    <row r="103" spans="2:12" ht="15.75" thickBot="1" x14ac:dyDescent="0.3">
      <c r="B103" s="62" t="s">
        <v>24</v>
      </c>
      <c r="C103" s="145" t="s">
        <v>23</v>
      </c>
      <c r="D103" s="162" t="e">
        <f>D100/C100-1</f>
        <v>#DIV/0!</v>
      </c>
      <c r="E103" s="162" t="e">
        <f t="shared" si="7"/>
        <v>#DIV/0!</v>
      </c>
      <c r="F103" s="162" t="e">
        <f t="shared" si="7"/>
        <v>#DIV/0!</v>
      </c>
    </row>
    <row r="104" spans="2:12" ht="15.75" thickBot="1" x14ac:dyDescent="0.3">
      <c r="B104" s="62" t="s">
        <v>25</v>
      </c>
      <c r="C104" s="145" t="s">
        <v>23</v>
      </c>
      <c r="D104" s="162" t="e">
        <f>D101/C101-1</f>
        <v>#DIV/0!</v>
      </c>
      <c r="E104" s="162" t="e">
        <f t="shared" si="7"/>
        <v>#DIV/0!</v>
      </c>
      <c r="F104" s="162" t="e">
        <f t="shared" si="7"/>
        <v>#DIV/0!</v>
      </c>
    </row>
    <row r="105" spans="2:12" ht="15.75" thickBot="1" x14ac:dyDescent="0.3">
      <c r="B105" s="1000" t="s">
        <v>793</v>
      </c>
      <c r="C105" s="1001"/>
      <c r="D105" s="1001"/>
      <c r="E105" s="1001"/>
      <c r="F105" s="1002"/>
    </row>
    <row r="106" spans="2:12" ht="12.75" customHeight="1" x14ac:dyDescent="0.25">
      <c r="B106" s="998"/>
      <c r="C106" s="63">
        <v>2018</v>
      </c>
      <c r="D106" s="63">
        <v>2019</v>
      </c>
      <c r="E106" s="63">
        <v>2020</v>
      </c>
      <c r="F106" s="63">
        <v>2021</v>
      </c>
    </row>
    <row r="107" spans="2:12" ht="15.75" thickBot="1" x14ac:dyDescent="0.3">
      <c r="B107" s="999"/>
      <c r="C107" s="64" t="s">
        <v>10</v>
      </c>
      <c r="D107" s="64" t="s">
        <v>11</v>
      </c>
      <c r="E107" s="64" t="s">
        <v>11</v>
      </c>
      <c r="F107" s="64" t="s">
        <v>11</v>
      </c>
    </row>
    <row r="108" spans="2:12" ht="15.75" thickBot="1" x14ac:dyDescent="0.3">
      <c r="B108" s="65" t="s">
        <v>58</v>
      </c>
      <c r="C108" s="164"/>
      <c r="D108" s="164"/>
      <c r="E108" s="164"/>
      <c r="F108" s="164"/>
    </row>
    <row r="109" spans="2:12" ht="15.75" thickBot="1" x14ac:dyDescent="0.3">
      <c r="B109" s="65" t="s">
        <v>59</v>
      </c>
      <c r="C109" s="165"/>
      <c r="D109" s="164"/>
      <c r="E109" s="164"/>
      <c r="F109" s="164"/>
    </row>
    <row r="110" spans="2:12" ht="15.75" thickBot="1" x14ac:dyDescent="0.3">
      <c r="B110" s="66" t="s">
        <v>74</v>
      </c>
      <c r="C110" s="165">
        <f>C109+C108</f>
        <v>0</v>
      </c>
      <c r="D110" s="165">
        <f t="shared" ref="D110:F110" si="8">D109+D108</f>
        <v>0</v>
      </c>
      <c r="E110" s="165">
        <f t="shared" si="8"/>
        <v>0</v>
      </c>
      <c r="F110" s="165">
        <f t="shared" si="8"/>
        <v>0</v>
      </c>
    </row>
    <row r="111" spans="2:12" ht="15.75" thickBot="1" x14ac:dyDescent="0.3">
      <c r="B111" s="989" t="s">
        <v>63</v>
      </c>
      <c r="C111" s="990"/>
      <c r="D111" s="990"/>
      <c r="E111" s="990"/>
      <c r="F111" s="991"/>
    </row>
    <row r="112" spans="2:12" ht="15.75" thickBot="1" x14ac:dyDescent="0.3">
      <c r="B112" s="989" t="s">
        <v>64</v>
      </c>
      <c r="C112" s="990"/>
      <c r="D112" s="990"/>
      <c r="E112" s="990"/>
      <c r="F112" s="991"/>
    </row>
    <row r="113" spans="2:12" ht="15.75" thickBot="1" x14ac:dyDescent="0.3">
      <c r="B113" s="67" t="s">
        <v>61</v>
      </c>
      <c r="C113" s="1009" t="s">
        <v>130</v>
      </c>
      <c r="D113" s="1010"/>
      <c r="E113" s="1010"/>
      <c r="F113" s="1011"/>
    </row>
    <row r="114" spans="2:12" ht="15.75" thickBot="1" x14ac:dyDescent="0.3">
      <c r="B114" s="160" t="s">
        <v>16</v>
      </c>
      <c r="C114" s="992" t="s">
        <v>106</v>
      </c>
      <c r="D114" s="993"/>
      <c r="E114" s="993"/>
      <c r="F114" s="994"/>
    </row>
    <row r="115" spans="2:12" ht="17.25" customHeight="1" thickBot="1" x14ac:dyDescent="0.3">
      <c r="B115" s="62" t="s">
        <v>17</v>
      </c>
      <c r="C115" s="983" t="s">
        <v>106</v>
      </c>
      <c r="D115" s="984"/>
      <c r="E115" s="984"/>
      <c r="F115" s="985"/>
    </row>
    <row r="116" spans="2:12" ht="15.75" thickBot="1" x14ac:dyDescent="0.3">
      <c r="B116" s="62" t="s">
        <v>18</v>
      </c>
      <c r="C116" s="995" t="s">
        <v>106</v>
      </c>
      <c r="D116" s="996"/>
      <c r="E116" s="996"/>
      <c r="F116" s="997"/>
    </row>
    <row r="117" spans="2:12" ht="12.75" customHeight="1" x14ac:dyDescent="0.25">
      <c r="B117" s="998"/>
      <c r="C117" s="63">
        <v>2018</v>
      </c>
      <c r="D117" s="63">
        <v>2019</v>
      </c>
      <c r="E117" s="63">
        <v>2020</v>
      </c>
      <c r="F117" s="63">
        <v>2021</v>
      </c>
    </row>
    <row r="118" spans="2:12" ht="9" customHeight="1" thickBot="1" x14ac:dyDescent="0.3">
      <c r="B118" s="999"/>
      <c r="C118" s="64" t="s">
        <v>10</v>
      </c>
      <c r="D118" s="64" t="s">
        <v>11</v>
      </c>
      <c r="E118" s="64" t="s">
        <v>11</v>
      </c>
      <c r="F118" s="64" t="s">
        <v>11</v>
      </c>
    </row>
    <row r="119" spans="2:12" ht="15.75" thickBot="1" x14ac:dyDescent="0.3">
      <c r="B119" s="62" t="s">
        <v>19</v>
      </c>
      <c r="C119" s="161"/>
      <c r="D119" s="161"/>
      <c r="E119" s="161"/>
      <c r="F119" s="161"/>
    </row>
    <row r="120" spans="2:12" ht="15.75" thickBot="1" x14ac:dyDescent="0.3">
      <c r="B120" s="62" t="s">
        <v>20</v>
      </c>
      <c r="C120" s="161"/>
      <c r="D120" s="161"/>
      <c r="E120" s="161"/>
      <c r="F120" s="161"/>
    </row>
    <row r="121" spans="2:12" ht="15.75" thickBot="1" x14ac:dyDescent="0.3">
      <c r="B121" s="62" t="s">
        <v>21</v>
      </c>
      <c r="C121" s="161" t="e">
        <f>C120/C119</f>
        <v>#DIV/0!</v>
      </c>
      <c r="D121" s="161" t="e">
        <f t="shared" ref="D121:F121" si="9">D120/D119</f>
        <v>#DIV/0!</v>
      </c>
      <c r="E121" s="161" t="e">
        <f t="shared" si="9"/>
        <v>#DIV/0!</v>
      </c>
      <c r="F121" s="161" t="e">
        <f t="shared" si="9"/>
        <v>#DIV/0!</v>
      </c>
    </row>
    <row r="122" spans="2:12" ht="15.75" thickBot="1" x14ac:dyDescent="0.3">
      <c r="B122" s="62" t="s">
        <v>22</v>
      </c>
      <c r="C122" s="145" t="s">
        <v>23</v>
      </c>
      <c r="D122" s="162" t="e">
        <f>D119/C119-1</f>
        <v>#DIV/0!</v>
      </c>
      <c r="E122" s="162" t="e">
        <f t="shared" ref="E122:F124" si="10">E119/D119-1</f>
        <v>#DIV/0!</v>
      </c>
      <c r="F122" s="162" t="e">
        <f t="shared" si="10"/>
        <v>#DIV/0!</v>
      </c>
      <c r="H122" s="163"/>
      <c r="I122" s="163"/>
      <c r="J122" s="163"/>
      <c r="K122" s="163"/>
      <c r="L122" s="163"/>
    </row>
    <row r="123" spans="2:12" ht="15.75" thickBot="1" x14ac:dyDescent="0.3">
      <c r="B123" s="62" t="s">
        <v>24</v>
      </c>
      <c r="C123" s="145" t="s">
        <v>23</v>
      </c>
      <c r="D123" s="162" t="e">
        <f>D120/C120-1</f>
        <v>#DIV/0!</v>
      </c>
      <c r="E123" s="162" t="e">
        <f t="shared" si="10"/>
        <v>#DIV/0!</v>
      </c>
      <c r="F123" s="162" t="e">
        <f t="shared" si="10"/>
        <v>#DIV/0!</v>
      </c>
    </row>
    <row r="124" spans="2:12" ht="15.75" thickBot="1" x14ac:dyDescent="0.3">
      <c r="B124" s="62" t="s">
        <v>25</v>
      </c>
      <c r="C124" s="145" t="s">
        <v>23</v>
      </c>
      <c r="D124" s="162" t="e">
        <f>D121/C121-1</f>
        <v>#DIV/0!</v>
      </c>
      <c r="E124" s="162" t="e">
        <f t="shared" si="10"/>
        <v>#DIV/0!</v>
      </c>
      <c r="F124" s="162" t="e">
        <f t="shared" si="10"/>
        <v>#DIV/0!</v>
      </c>
    </row>
    <row r="125" spans="2:12" ht="15.75" thickBot="1" x14ac:dyDescent="0.3">
      <c r="B125" s="1000" t="s">
        <v>784</v>
      </c>
      <c r="C125" s="1001"/>
      <c r="D125" s="1001"/>
      <c r="E125" s="1001"/>
      <c r="F125" s="1002"/>
    </row>
    <row r="126" spans="2:12" ht="12.75" customHeight="1" x14ac:dyDescent="0.25">
      <c r="B126" s="998"/>
      <c r="C126" s="63">
        <v>2018</v>
      </c>
      <c r="D126" s="63">
        <v>2019</v>
      </c>
      <c r="E126" s="63">
        <v>2020</v>
      </c>
      <c r="F126" s="63">
        <v>2021</v>
      </c>
    </row>
    <row r="127" spans="2:12" ht="15.75" thickBot="1" x14ac:dyDescent="0.3">
      <c r="B127" s="999"/>
      <c r="C127" s="64" t="s">
        <v>10</v>
      </c>
      <c r="D127" s="64" t="s">
        <v>11</v>
      </c>
      <c r="E127" s="64" t="s">
        <v>11</v>
      </c>
      <c r="F127" s="64" t="s">
        <v>11</v>
      </c>
    </row>
    <row r="128" spans="2:12" ht="15.75" thickBot="1" x14ac:dyDescent="0.3">
      <c r="B128" s="65" t="s">
        <v>58</v>
      </c>
      <c r="C128" s="164"/>
      <c r="D128" s="164"/>
      <c r="E128" s="164"/>
      <c r="F128" s="164"/>
    </row>
    <row r="129" spans="2:12" ht="15.75" thickBot="1" x14ac:dyDescent="0.3">
      <c r="B129" s="65" t="s">
        <v>59</v>
      </c>
      <c r="C129" s="165"/>
      <c r="D129" s="164"/>
      <c r="E129" s="164"/>
      <c r="F129" s="164"/>
    </row>
    <row r="130" spans="2:12" ht="15.75" thickBot="1" x14ac:dyDescent="0.3">
      <c r="B130" s="66" t="s">
        <v>40</v>
      </c>
      <c r="C130" s="165">
        <f>C129+C128</f>
        <v>0</v>
      </c>
      <c r="D130" s="165">
        <f t="shared" ref="D130:F130" si="11">D129+D128</f>
        <v>0</v>
      </c>
      <c r="E130" s="165">
        <f t="shared" si="11"/>
        <v>0</v>
      </c>
      <c r="F130" s="165">
        <f t="shared" si="11"/>
        <v>0</v>
      </c>
    </row>
    <row r="131" spans="2:12" ht="15.75" thickBot="1" x14ac:dyDescent="0.3">
      <c r="B131" s="197" t="s">
        <v>61</v>
      </c>
      <c r="C131" s="1009" t="s">
        <v>130</v>
      </c>
      <c r="D131" s="1010"/>
      <c r="E131" s="1010"/>
      <c r="F131" s="1011"/>
    </row>
    <row r="132" spans="2:12" ht="15.75" thickBot="1" x14ac:dyDescent="0.3">
      <c r="B132" s="160" t="s">
        <v>129</v>
      </c>
      <c r="C132" s="992" t="s">
        <v>106</v>
      </c>
      <c r="D132" s="993"/>
      <c r="E132" s="993"/>
      <c r="F132" s="994"/>
    </row>
    <row r="133" spans="2:12" ht="17.25" customHeight="1" thickBot="1" x14ac:dyDescent="0.3">
      <c r="B133" s="62" t="s">
        <v>17</v>
      </c>
      <c r="C133" s="983" t="s">
        <v>106</v>
      </c>
      <c r="D133" s="984"/>
      <c r="E133" s="984"/>
      <c r="F133" s="985"/>
    </row>
    <row r="134" spans="2:12" ht="15.75" thickBot="1" x14ac:dyDescent="0.3">
      <c r="B134" s="62" t="s">
        <v>18</v>
      </c>
      <c r="C134" s="995" t="s">
        <v>106</v>
      </c>
      <c r="D134" s="996"/>
      <c r="E134" s="996"/>
      <c r="F134" s="997"/>
    </row>
    <row r="135" spans="2:12" ht="12.75" customHeight="1" x14ac:dyDescent="0.25">
      <c r="B135" s="998"/>
      <c r="C135" s="63">
        <v>2018</v>
      </c>
      <c r="D135" s="63">
        <v>2019</v>
      </c>
      <c r="E135" s="63">
        <v>2020</v>
      </c>
      <c r="F135" s="63">
        <v>2021</v>
      </c>
    </row>
    <row r="136" spans="2:12" ht="9" customHeight="1" thickBot="1" x14ac:dyDescent="0.3">
      <c r="B136" s="999"/>
      <c r="C136" s="64" t="s">
        <v>10</v>
      </c>
      <c r="D136" s="64" t="s">
        <v>11</v>
      </c>
      <c r="E136" s="64" t="s">
        <v>11</v>
      </c>
      <c r="F136" s="64" t="s">
        <v>11</v>
      </c>
    </row>
    <row r="137" spans="2:12" ht="15.75" thickBot="1" x14ac:dyDescent="0.3">
      <c r="B137" s="62" t="s">
        <v>19</v>
      </c>
      <c r="C137" s="161"/>
      <c r="D137" s="161"/>
      <c r="E137" s="161"/>
      <c r="F137" s="161"/>
    </row>
    <row r="138" spans="2:12" ht="15.75" thickBot="1" x14ac:dyDescent="0.3">
      <c r="B138" s="62" t="s">
        <v>20</v>
      </c>
      <c r="C138" s="161"/>
      <c r="D138" s="161"/>
      <c r="E138" s="161"/>
      <c r="F138" s="161"/>
    </row>
    <row r="139" spans="2:12" ht="15.75" thickBot="1" x14ac:dyDescent="0.3">
      <c r="B139" s="62" t="s">
        <v>21</v>
      </c>
      <c r="C139" s="161" t="e">
        <f>C138/C137</f>
        <v>#DIV/0!</v>
      </c>
      <c r="D139" s="161" t="e">
        <f t="shared" ref="D139:F139" si="12">D138/D137</f>
        <v>#DIV/0!</v>
      </c>
      <c r="E139" s="161" t="e">
        <f t="shared" si="12"/>
        <v>#DIV/0!</v>
      </c>
      <c r="F139" s="161" t="e">
        <f t="shared" si="12"/>
        <v>#DIV/0!</v>
      </c>
    </row>
    <row r="140" spans="2:12" ht="15.75" thickBot="1" x14ac:dyDescent="0.3">
      <c r="B140" s="62" t="s">
        <v>22</v>
      </c>
      <c r="C140" s="145" t="s">
        <v>23</v>
      </c>
      <c r="D140" s="162" t="e">
        <f>D137/C137-1</f>
        <v>#DIV/0!</v>
      </c>
      <c r="E140" s="162" t="e">
        <f t="shared" ref="E140:F142" si="13">E137/D137-1</f>
        <v>#DIV/0!</v>
      </c>
      <c r="F140" s="162" t="e">
        <f t="shared" si="13"/>
        <v>#DIV/0!</v>
      </c>
      <c r="H140" s="163"/>
      <c r="I140" s="163"/>
      <c r="J140" s="163"/>
      <c r="K140" s="163"/>
      <c r="L140" s="163"/>
    </row>
    <row r="141" spans="2:12" ht="15.75" thickBot="1" x14ac:dyDescent="0.3">
      <c r="B141" s="62" t="s">
        <v>24</v>
      </c>
      <c r="C141" s="145" t="s">
        <v>23</v>
      </c>
      <c r="D141" s="162" t="e">
        <f>D138/C138-1</f>
        <v>#DIV/0!</v>
      </c>
      <c r="E141" s="162" t="e">
        <f t="shared" si="13"/>
        <v>#DIV/0!</v>
      </c>
      <c r="F141" s="162" t="e">
        <f t="shared" si="13"/>
        <v>#DIV/0!</v>
      </c>
    </row>
    <row r="142" spans="2:12" ht="15.75" thickBot="1" x14ac:dyDescent="0.3">
      <c r="B142" s="62" t="s">
        <v>25</v>
      </c>
      <c r="C142" s="145" t="s">
        <v>23</v>
      </c>
      <c r="D142" s="162" t="e">
        <f>D139/C139-1</f>
        <v>#DIV/0!</v>
      </c>
      <c r="E142" s="162" t="e">
        <f t="shared" si="13"/>
        <v>#DIV/0!</v>
      </c>
      <c r="F142" s="162" t="e">
        <f t="shared" si="13"/>
        <v>#DIV/0!</v>
      </c>
    </row>
    <row r="143" spans="2:12" ht="15.75" thickBot="1" x14ac:dyDescent="0.3">
      <c r="B143" s="1000" t="s">
        <v>793</v>
      </c>
      <c r="C143" s="1001"/>
      <c r="D143" s="1001"/>
      <c r="E143" s="1001"/>
      <c r="F143" s="1002"/>
    </row>
    <row r="144" spans="2:12" ht="12.75" customHeight="1" x14ac:dyDescent="0.25">
      <c r="B144" s="998"/>
      <c r="C144" s="63">
        <v>2018</v>
      </c>
      <c r="D144" s="63">
        <v>2019</v>
      </c>
      <c r="E144" s="63">
        <v>2020</v>
      </c>
      <c r="F144" s="63">
        <v>2021</v>
      </c>
    </row>
    <row r="145" spans="2:6" ht="22.5" customHeight="1" thickBot="1" x14ac:dyDescent="0.3">
      <c r="B145" s="999"/>
      <c r="C145" s="64" t="s">
        <v>10</v>
      </c>
      <c r="D145" s="64" t="s">
        <v>11</v>
      </c>
      <c r="E145" s="64" t="s">
        <v>11</v>
      </c>
      <c r="F145" s="64" t="s">
        <v>11</v>
      </c>
    </row>
    <row r="146" spans="2:6" ht="15.75" thickBot="1" x14ac:dyDescent="0.3">
      <c r="B146" s="65" t="s">
        <v>58</v>
      </c>
      <c r="C146" s="164"/>
      <c r="D146" s="164"/>
      <c r="E146" s="164"/>
      <c r="F146" s="164"/>
    </row>
    <row r="147" spans="2:6" ht="15.75" thickBot="1" x14ac:dyDescent="0.3">
      <c r="B147" s="65" t="s">
        <v>59</v>
      </c>
      <c r="C147" s="165"/>
      <c r="D147" s="164"/>
      <c r="E147" s="164"/>
      <c r="F147" s="164"/>
    </row>
    <row r="148" spans="2:6" ht="15.75" thickBot="1" x14ac:dyDescent="0.3">
      <c r="B148" s="66" t="s">
        <v>74</v>
      </c>
      <c r="C148" s="165">
        <f>C147+C146</f>
        <v>0</v>
      </c>
      <c r="D148" s="165">
        <f t="shared" ref="D148:F148" si="14">D147+D146</f>
        <v>0</v>
      </c>
      <c r="E148" s="165">
        <f t="shared" si="14"/>
        <v>0</v>
      </c>
      <c r="F148" s="165">
        <f t="shared" si="14"/>
        <v>0</v>
      </c>
    </row>
    <row r="149" spans="2:6" ht="51" customHeight="1" thickBot="1" x14ac:dyDescent="0.3">
      <c r="B149" s="154" t="s">
        <v>67</v>
      </c>
      <c r="C149" s="1708" t="s">
        <v>452</v>
      </c>
      <c r="D149" s="1709"/>
      <c r="E149" s="1709"/>
      <c r="F149" s="1710"/>
    </row>
    <row r="150" spans="2:6" ht="15.75" customHeight="1" thickBot="1" x14ac:dyDescent="0.3">
      <c r="B150" s="983" t="s">
        <v>68</v>
      </c>
      <c r="C150" s="984"/>
      <c r="D150" s="984"/>
      <c r="E150" s="984"/>
      <c r="F150" s="985"/>
    </row>
    <row r="151" spans="2:6" ht="15.75" thickBot="1" x14ac:dyDescent="0.3">
      <c r="B151" s="146" t="s">
        <v>453</v>
      </c>
      <c r="C151" s="157">
        <v>0.31</v>
      </c>
      <c r="D151" s="157">
        <v>0.28999999999999998</v>
      </c>
      <c r="E151" s="157">
        <v>0.27</v>
      </c>
      <c r="F151" s="157">
        <v>0.25</v>
      </c>
    </row>
    <row r="152" spans="2:6" ht="36.75" customHeight="1" thickBot="1" x14ac:dyDescent="0.3">
      <c r="B152" s="62" t="s">
        <v>454</v>
      </c>
      <c r="C152" s="157">
        <v>0.04</v>
      </c>
      <c r="D152" s="157">
        <v>0.05</v>
      </c>
      <c r="E152" s="157">
        <v>0.06</v>
      </c>
      <c r="F152" s="157">
        <v>7.0000000000000007E-2</v>
      </c>
    </row>
    <row r="153" spans="2:6" ht="23.25" customHeight="1" thickBot="1" x14ac:dyDescent="0.3">
      <c r="B153" s="62" t="s">
        <v>455</v>
      </c>
      <c r="C153" s="157">
        <v>0.02</v>
      </c>
      <c r="D153" s="157">
        <v>0.04</v>
      </c>
      <c r="E153" s="157">
        <v>0.05</v>
      </c>
      <c r="F153" s="157">
        <v>0.06</v>
      </c>
    </row>
    <row r="154" spans="2:6" ht="23.25" customHeight="1" thickBot="1" x14ac:dyDescent="0.3">
      <c r="B154" s="1027" t="s">
        <v>69</v>
      </c>
      <c r="C154" s="1028"/>
      <c r="D154" s="1028"/>
      <c r="E154" s="1028"/>
      <c r="F154" s="1029"/>
    </row>
    <row r="155" spans="2:6" ht="23.25" customHeight="1" thickBot="1" x14ac:dyDescent="0.3">
      <c r="B155" s="1030" t="s">
        <v>70</v>
      </c>
      <c r="C155" s="1031"/>
      <c r="D155" s="1031"/>
      <c r="E155" s="1031"/>
      <c r="F155" s="1032"/>
    </row>
    <row r="156" spans="2:6" ht="12.75" customHeight="1" x14ac:dyDescent="0.25">
      <c r="B156" s="998"/>
      <c r="C156" s="63">
        <v>2018</v>
      </c>
      <c r="D156" s="63">
        <v>2019</v>
      </c>
      <c r="E156" s="63">
        <v>2020</v>
      </c>
      <c r="F156" s="63">
        <v>2021</v>
      </c>
    </row>
    <row r="157" spans="2:6" ht="15.75" thickBot="1" x14ac:dyDescent="0.3">
      <c r="B157" s="999"/>
      <c r="C157" s="64" t="s">
        <v>10</v>
      </c>
      <c r="D157" s="64" t="s">
        <v>11</v>
      </c>
      <c r="E157" s="64" t="s">
        <v>11</v>
      </c>
      <c r="F157" s="64" t="s">
        <v>11</v>
      </c>
    </row>
    <row r="158" spans="2:6" ht="26.25" customHeight="1" thickBot="1" x14ac:dyDescent="0.3">
      <c r="B158" s="160" t="s">
        <v>16</v>
      </c>
      <c r="C158" s="992" t="s">
        <v>456</v>
      </c>
      <c r="D158" s="993"/>
      <c r="E158" s="993"/>
      <c r="F158" s="994"/>
    </row>
    <row r="159" spans="2:6" ht="16.5" customHeight="1" thickBot="1" x14ac:dyDescent="0.3">
      <c r="B159" s="62" t="s">
        <v>17</v>
      </c>
      <c r="C159" s="983" t="s">
        <v>457</v>
      </c>
      <c r="D159" s="984"/>
      <c r="E159" s="984"/>
      <c r="F159" s="985"/>
    </row>
    <row r="160" spans="2:6" ht="15.75" customHeight="1" thickBot="1" x14ac:dyDescent="0.3">
      <c r="B160" s="62" t="s">
        <v>18</v>
      </c>
      <c r="C160" s="995" t="s">
        <v>150</v>
      </c>
      <c r="D160" s="996"/>
      <c r="E160" s="996"/>
      <c r="F160" s="997"/>
    </row>
    <row r="161" spans="2:6" ht="12.75" customHeight="1" x14ac:dyDescent="0.25">
      <c r="B161" s="998"/>
      <c r="C161" s="63">
        <v>2018</v>
      </c>
      <c r="D161" s="63">
        <v>2019</v>
      </c>
      <c r="E161" s="63">
        <v>2020</v>
      </c>
      <c r="F161" s="63">
        <v>2021</v>
      </c>
    </row>
    <row r="162" spans="2:6" ht="15.75" thickBot="1" x14ac:dyDescent="0.3">
      <c r="B162" s="999"/>
      <c r="C162" s="64" t="s">
        <v>10</v>
      </c>
      <c r="D162" s="64" t="s">
        <v>11</v>
      </c>
      <c r="E162" s="64" t="s">
        <v>11</v>
      </c>
      <c r="F162" s="64" t="s">
        <v>11</v>
      </c>
    </row>
    <row r="163" spans="2:6" ht="15.75" customHeight="1" thickBot="1" x14ac:dyDescent="0.3">
      <c r="B163" s="62" t="s">
        <v>19</v>
      </c>
      <c r="C163" s="161">
        <v>1000</v>
      </c>
      <c r="D163" s="203">
        <v>1500</v>
      </c>
      <c r="E163" s="203">
        <v>2000</v>
      </c>
      <c r="F163" s="203">
        <v>2500</v>
      </c>
    </row>
    <row r="164" spans="2:6" ht="15.75" thickBot="1" x14ac:dyDescent="0.3">
      <c r="B164" s="62" t="s">
        <v>20</v>
      </c>
      <c r="C164" s="161">
        <v>6236.875</v>
      </c>
      <c r="D164" s="161">
        <v>6236.875</v>
      </c>
      <c r="E164" s="161">
        <v>6436.875</v>
      </c>
      <c r="F164" s="161">
        <v>6536.875</v>
      </c>
    </row>
    <row r="165" spans="2:6" ht="15.75" thickBot="1" x14ac:dyDescent="0.3">
      <c r="B165" s="62" t="s">
        <v>21</v>
      </c>
      <c r="C165" s="161">
        <f>C164/C163</f>
        <v>6.2368750000000004</v>
      </c>
      <c r="D165" s="161">
        <f t="shared" ref="D165:F165" si="15">D164/D163</f>
        <v>4.1579166666666669</v>
      </c>
      <c r="E165" s="161">
        <f t="shared" si="15"/>
        <v>3.2184374999999998</v>
      </c>
      <c r="F165" s="161">
        <f t="shared" si="15"/>
        <v>2.6147499999999999</v>
      </c>
    </row>
    <row r="166" spans="2:6" ht="15.75" thickBot="1" x14ac:dyDescent="0.3">
      <c r="B166" s="62" t="s">
        <v>22</v>
      </c>
      <c r="C166" s="145"/>
      <c r="D166" s="162">
        <f>D163/C163-1</f>
        <v>0.5</v>
      </c>
      <c r="E166" s="162">
        <f t="shared" ref="E166:F168" si="16">E163/D163-1</f>
        <v>0.33333333333333326</v>
      </c>
      <c r="F166" s="162">
        <f t="shared" si="16"/>
        <v>0.25</v>
      </c>
    </row>
    <row r="167" spans="2:6" ht="15.75" thickBot="1" x14ac:dyDescent="0.3">
      <c r="B167" s="62" t="s">
        <v>24</v>
      </c>
      <c r="C167" s="145"/>
      <c r="D167" s="162">
        <f>D164/C164-1</f>
        <v>0</v>
      </c>
      <c r="E167" s="162">
        <f t="shared" si="16"/>
        <v>3.2067341416975648E-2</v>
      </c>
      <c r="F167" s="162">
        <f t="shared" si="16"/>
        <v>1.5535488882415738E-2</v>
      </c>
    </row>
    <row r="168" spans="2:6" ht="15.75" thickBot="1" x14ac:dyDescent="0.3">
      <c r="B168" s="62" t="s">
        <v>25</v>
      </c>
      <c r="C168" s="145"/>
      <c r="D168" s="162">
        <f>D165/C165-1</f>
        <v>-0.33333333333333337</v>
      </c>
      <c r="E168" s="162">
        <f t="shared" si="16"/>
        <v>-0.22594949393726838</v>
      </c>
      <c r="F168" s="162">
        <f t="shared" si="16"/>
        <v>-0.18757160889406732</v>
      </c>
    </row>
    <row r="169" spans="2:6" ht="15.75" thickBot="1" x14ac:dyDescent="0.3">
      <c r="B169" s="1000" t="s">
        <v>794</v>
      </c>
      <c r="C169" s="1001"/>
      <c r="D169" s="1001"/>
      <c r="E169" s="1001"/>
      <c r="F169" s="1002"/>
    </row>
    <row r="170" spans="2:6" ht="12.75" customHeight="1" x14ac:dyDescent="0.25">
      <c r="B170" s="998"/>
      <c r="C170" s="63">
        <v>2018</v>
      </c>
      <c r="D170" s="63">
        <v>2019</v>
      </c>
      <c r="E170" s="63">
        <v>2020</v>
      </c>
      <c r="F170" s="63">
        <v>2021</v>
      </c>
    </row>
    <row r="171" spans="2:6" ht="15.75" thickBot="1" x14ac:dyDescent="0.3">
      <c r="B171" s="999"/>
      <c r="C171" s="64" t="s">
        <v>10</v>
      </c>
      <c r="D171" s="64" t="s">
        <v>11</v>
      </c>
      <c r="E171" s="64" t="s">
        <v>11</v>
      </c>
      <c r="F171" s="64" t="s">
        <v>11</v>
      </c>
    </row>
    <row r="172" spans="2:6" ht="15.75" thickBot="1" x14ac:dyDescent="0.3">
      <c r="B172" s="65" t="s">
        <v>26</v>
      </c>
      <c r="C172" s="164">
        <v>3125</v>
      </c>
      <c r="D172" s="164">
        <v>3125</v>
      </c>
      <c r="E172" s="164">
        <v>3125</v>
      </c>
      <c r="F172" s="164">
        <v>3125</v>
      </c>
    </row>
    <row r="173" spans="2:6" ht="15.75" thickBot="1" x14ac:dyDescent="0.3">
      <c r="B173" s="65" t="s">
        <v>28</v>
      </c>
      <c r="C173" s="164">
        <v>521.875</v>
      </c>
      <c r="D173" s="164">
        <v>521.875</v>
      </c>
      <c r="E173" s="164">
        <v>521.875</v>
      </c>
      <c r="F173" s="164">
        <v>521.875</v>
      </c>
    </row>
    <row r="174" spans="2:6" ht="15.75" thickBot="1" x14ac:dyDescent="0.3">
      <c r="B174" s="65" t="s">
        <v>30</v>
      </c>
      <c r="C174" s="165">
        <v>2530</v>
      </c>
      <c r="D174" s="164">
        <v>2530</v>
      </c>
      <c r="E174" s="164">
        <v>2730</v>
      </c>
      <c r="F174" s="164">
        <v>2830</v>
      </c>
    </row>
    <row r="175" spans="2:6" ht="15.75" thickBot="1" x14ac:dyDescent="0.3">
      <c r="B175" s="65" t="s">
        <v>32</v>
      </c>
      <c r="C175" s="165">
        <v>0</v>
      </c>
      <c r="D175" s="164">
        <v>0</v>
      </c>
      <c r="E175" s="164">
        <v>0</v>
      </c>
      <c r="F175" s="164">
        <v>0</v>
      </c>
    </row>
    <row r="176" spans="2:6" ht="15.75" thickBot="1" x14ac:dyDescent="0.3">
      <c r="B176" s="65" t="s">
        <v>34</v>
      </c>
      <c r="C176" s="165">
        <v>0</v>
      </c>
      <c r="D176" s="164">
        <v>0</v>
      </c>
      <c r="E176" s="164">
        <v>0</v>
      </c>
      <c r="F176" s="164">
        <v>0</v>
      </c>
    </row>
    <row r="177" spans="2:6" ht="15.75" thickBot="1" x14ac:dyDescent="0.3">
      <c r="B177" s="65" t="s">
        <v>36</v>
      </c>
      <c r="C177" s="165">
        <v>0</v>
      </c>
      <c r="D177" s="164">
        <v>0</v>
      </c>
      <c r="E177" s="164">
        <v>0</v>
      </c>
      <c r="F177" s="164">
        <v>0</v>
      </c>
    </row>
    <row r="178" spans="2:6" ht="15.75" thickBot="1" x14ac:dyDescent="0.3">
      <c r="B178" s="65" t="s">
        <v>38</v>
      </c>
      <c r="C178" s="165">
        <v>60</v>
      </c>
      <c r="D178" s="165">
        <v>60</v>
      </c>
      <c r="E178" s="165">
        <v>60</v>
      </c>
      <c r="F178" s="165">
        <v>60</v>
      </c>
    </row>
    <row r="179" spans="2:6" ht="15.75" thickBot="1" x14ac:dyDescent="0.3">
      <c r="B179" s="204" t="s">
        <v>71</v>
      </c>
      <c r="C179" s="205">
        <f>C178+C177+C176+C175+C174+C173+C172</f>
        <v>6236.875</v>
      </c>
      <c r="D179" s="205">
        <f>D178+D177+D176+D175+D174+D173+D172</f>
        <v>6236.875</v>
      </c>
      <c r="E179" s="205">
        <f>E178+E177+E176+E175+E174+E173+E172</f>
        <v>6436.875</v>
      </c>
      <c r="F179" s="205">
        <f>F178+F177+F176+F175+F174+F173+F172</f>
        <v>6536.875</v>
      </c>
    </row>
    <row r="180" spans="2:6" ht="15.75" thickBot="1" x14ac:dyDescent="0.3">
      <c r="B180" s="166" t="s">
        <v>41</v>
      </c>
      <c r="C180" s="167">
        <f>IF(C179-C164=0,0,"Error")</f>
        <v>0</v>
      </c>
      <c r="D180" s="167">
        <f>IF(D179-D164=0,0,"Error")</f>
        <v>0</v>
      </c>
      <c r="E180" s="167">
        <f>IF(E179-E164=0,0,"Error")</f>
        <v>0</v>
      </c>
      <c r="F180" s="167">
        <f>IF(F179-F164=0,0,"Error")</f>
        <v>0</v>
      </c>
    </row>
    <row r="181" spans="2:6" ht="15.75" thickBot="1" x14ac:dyDescent="0.3">
      <c r="B181" s="218" t="s">
        <v>42</v>
      </c>
      <c r="C181" s="992" t="s">
        <v>458</v>
      </c>
      <c r="D181" s="993"/>
      <c r="E181" s="993"/>
      <c r="F181" s="994"/>
    </row>
    <row r="182" spans="2:6" ht="30.75" customHeight="1" thickBot="1" x14ac:dyDescent="0.3">
      <c r="B182" s="62" t="s">
        <v>17</v>
      </c>
      <c r="C182" s="983" t="s">
        <v>459</v>
      </c>
      <c r="D182" s="984"/>
      <c r="E182" s="984"/>
      <c r="F182" s="985"/>
    </row>
    <row r="183" spans="2:6" ht="15.75" thickBot="1" x14ac:dyDescent="0.3">
      <c r="B183" s="62" t="s">
        <v>18</v>
      </c>
      <c r="C183" s="995" t="s">
        <v>150</v>
      </c>
      <c r="D183" s="996"/>
      <c r="E183" s="996"/>
      <c r="F183" s="997"/>
    </row>
    <row r="184" spans="2:6" ht="12.75" customHeight="1" x14ac:dyDescent="0.25">
      <c r="B184" s="998"/>
      <c r="C184" s="63">
        <v>2018</v>
      </c>
      <c r="D184" s="63">
        <v>2019</v>
      </c>
      <c r="E184" s="63">
        <v>2020</v>
      </c>
      <c r="F184" s="63">
        <v>2021</v>
      </c>
    </row>
    <row r="185" spans="2:6" ht="15.75" thickBot="1" x14ac:dyDescent="0.3">
      <c r="B185" s="999"/>
      <c r="C185" s="64" t="s">
        <v>10</v>
      </c>
      <c r="D185" s="64" t="s">
        <v>11</v>
      </c>
      <c r="E185" s="64" t="s">
        <v>11</v>
      </c>
      <c r="F185" s="64" t="s">
        <v>11</v>
      </c>
    </row>
    <row r="186" spans="2:6" ht="15.75" thickBot="1" x14ac:dyDescent="0.3">
      <c r="B186" s="62" t="s">
        <v>19</v>
      </c>
      <c r="C186" s="161">
        <v>200</v>
      </c>
      <c r="D186" s="161">
        <v>250</v>
      </c>
      <c r="E186" s="161">
        <v>300</v>
      </c>
      <c r="F186" s="161">
        <v>350</v>
      </c>
    </row>
    <row r="187" spans="2:6" ht="15.75" thickBot="1" x14ac:dyDescent="0.3">
      <c r="B187" s="62" t="s">
        <v>20</v>
      </c>
      <c r="C187" s="161">
        <v>4373.62</v>
      </c>
      <c r="D187" s="161">
        <v>4373.62</v>
      </c>
      <c r="E187" s="161">
        <v>4473.62</v>
      </c>
      <c r="F187" s="161">
        <v>4673.62</v>
      </c>
    </row>
    <row r="188" spans="2:6" ht="15.75" thickBot="1" x14ac:dyDescent="0.3">
      <c r="B188" s="62" t="s">
        <v>21</v>
      </c>
      <c r="C188" s="161">
        <f>C187/C186</f>
        <v>21.868099999999998</v>
      </c>
      <c r="D188" s="161">
        <f t="shared" ref="D188:F188" si="17">D187/D186</f>
        <v>17.494479999999999</v>
      </c>
      <c r="E188" s="161">
        <f t="shared" si="17"/>
        <v>14.912066666666666</v>
      </c>
      <c r="F188" s="161">
        <f t="shared" si="17"/>
        <v>13.353199999999999</v>
      </c>
    </row>
    <row r="189" spans="2:6" ht="15.75" thickBot="1" x14ac:dyDescent="0.3">
      <c r="B189" s="62" t="s">
        <v>22</v>
      </c>
      <c r="C189" s="145"/>
      <c r="D189" s="162">
        <f>D186/C186-1</f>
        <v>0.25</v>
      </c>
      <c r="E189" s="162">
        <f t="shared" ref="E189:F191" si="18">E186/D186-1</f>
        <v>0.19999999999999996</v>
      </c>
      <c r="F189" s="162">
        <f t="shared" si="18"/>
        <v>0.16666666666666674</v>
      </c>
    </row>
    <row r="190" spans="2:6" ht="15.75" thickBot="1" x14ac:dyDescent="0.3">
      <c r="B190" s="62" t="s">
        <v>24</v>
      </c>
      <c r="C190" s="145"/>
      <c r="D190" s="162">
        <f>D187/C187-1</f>
        <v>0</v>
      </c>
      <c r="E190" s="162">
        <f t="shared" si="18"/>
        <v>2.2864354927954356E-2</v>
      </c>
      <c r="F190" s="162">
        <f t="shared" si="18"/>
        <v>4.4706524023050642E-2</v>
      </c>
    </row>
    <row r="191" spans="2:6" ht="15.75" thickBot="1" x14ac:dyDescent="0.3">
      <c r="B191" s="62" t="s">
        <v>25</v>
      </c>
      <c r="C191" s="145"/>
      <c r="D191" s="162">
        <f>D188/C188-1</f>
        <v>-0.19999999999999996</v>
      </c>
      <c r="E191" s="162">
        <f t="shared" si="18"/>
        <v>-0.14761303756003796</v>
      </c>
      <c r="F191" s="162">
        <f t="shared" si="18"/>
        <v>-0.10453726512309947</v>
      </c>
    </row>
    <row r="192" spans="2:6" ht="15.75" thickBot="1" x14ac:dyDescent="0.3">
      <c r="B192" s="1000" t="s">
        <v>793</v>
      </c>
      <c r="C192" s="1001"/>
      <c r="D192" s="1001"/>
      <c r="E192" s="1001"/>
      <c r="F192" s="1002"/>
    </row>
    <row r="193" spans="2:6" ht="12.75" customHeight="1" x14ac:dyDescent="0.25">
      <c r="B193" s="998"/>
      <c r="C193" s="63">
        <v>2018</v>
      </c>
      <c r="D193" s="63">
        <v>2019</v>
      </c>
      <c r="E193" s="63">
        <v>2020</v>
      </c>
      <c r="F193" s="63">
        <v>2021</v>
      </c>
    </row>
    <row r="194" spans="2:6" ht="15.75" thickBot="1" x14ac:dyDescent="0.3">
      <c r="B194" s="999"/>
      <c r="C194" s="64" t="s">
        <v>10</v>
      </c>
      <c r="D194" s="64" t="s">
        <v>11</v>
      </c>
      <c r="E194" s="64" t="s">
        <v>11</v>
      </c>
      <c r="F194" s="64" t="s">
        <v>11</v>
      </c>
    </row>
    <row r="195" spans="2:6" ht="15.75" thickBot="1" x14ac:dyDescent="0.3">
      <c r="B195" s="65" t="s">
        <v>26</v>
      </c>
      <c r="C195" s="164">
        <v>1566.817</v>
      </c>
      <c r="D195" s="164">
        <v>1566.817</v>
      </c>
      <c r="E195" s="164">
        <v>1566.817</v>
      </c>
      <c r="F195" s="164">
        <v>1566.817</v>
      </c>
    </row>
    <row r="196" spans="2:6" ht="15.75" thickBot="1" x14ac:dyDescent="0.3">
      <c r="B196" s="65" t="s">
        <v>28</v>
      </c>
      <c r="C196" s="164">
        <v>261.803</v>
      </c>
      <c r="D196" s="164">
        <v>261.803</v>
      </c>
      <c r="E196" s="164">
        <v>261.803</v>
      </c>
      <c r="F196" s="164">
        <v>261.803</v>
      </c>
    </row>
    <row r="197" spans="2:6" ht="15.75" thickBot="1" x14ac:dyDescent="0.3">
      <c r="B197" s="65" t="s">
        <v>30</v>
      </c>
      <c r="C197" s="165">
        <v>2485</v>
      </c>
      <c r="D197" s="164">
        <v>2485</v>
      </c>
      <c r="E197" s="164">
        <v>2585</v>
      </c>
      <c r="F197" s="164">
        <v>2785</v>
      </c>
    </row>
    <row r="198" spans="2:6" ht="15.75" thickBot="1" x14ac:dyDescent="0.3">
      <c r="B198" s="65" t="s">
        <v>32</v>
      </c>
      <c r="C198" s="165">
        <v>0</v>
      </c>
      <c r="D198" s="164">
        <v>0</v>
      </c>
      <c r="E198" s="164">
        <v>0</v>
      </c>
      <c r="F198" s="164">
        <v>0</v>
      </c>
    </row>
    <row r="199" spans="2:6" ht="15.75" thickBot="1" x14ac:dyDescent="0.3">
      <c r="B199" s="65" t="s">
        <v>34</v>
      </c>
      <c r="C199" s="165">
        <v>0</v>
      </c>
      <c r="D199" s="164">
        <v>0</v>
      </c>
      <c r="E199" s="164">
        <v>0</v>
      </c>
      <c r="F199" s="164">
        <v>0</v>
      </c>
    </row>
    <row r="200" spans="2:6" ht="15.75" thickBot="1" x14ac:dyDescent="0.3">
      <c r="B200" s="65" t="s">
        <v>36</v>
      </c>
      <c r="C200" s="165">
        <v>0</v>
      </c>
      <c r="D200" s="164">
        <v>0</v>
      </c>
      <c r="E200" s="164">
        <v>0</v>
      </c>
      <c r="F200" s="164">
        <v>0</v>
      </c>
    </row>
    <row r="201" spans="2:6" ht="15.75" thickBot="1" x14ac:dyDescent="0.3">
      <c r="B201" s="65" t="s">
        <v>38</v>
      </c>
      <c r="C201" s="165">
        <v>60</v>
      </c>
      <c r="D201" s="165">
        <v>60</v>
      </c>
      <c r="E201" s="165">
        <v>60</v>
      </c>
      <c r="F201" s="165">
        <v>60</v>
      </c>
    </row>
    <row r="202" spans="2:6" ht="15.75" thickBot="1" x14ac:dyDescent="0.3">
      <c r="B202" s="204" t="s">
        <v>71</v>
      </c>
      <c r="C202" s="219">
        <f>C201+C199+C200+C198+C197+C196+C195</f>
        <v>4373.62</v>
      </c>
      <c r="D202" s="219">
        <f>D201+D199+D200+D198+D197+D196+D195</f>
        <v>4373.62</v>
      </c>
      <c r="E202" s="219">
        <f>E201+E199+E200+E198+E197+E196+E195</f>
        <v>4473.62</v>
      </c>
      <c r="F202" s="219">
        <f>F201+F199+F200+F198+F197+F196+F195</f>
        <v>4673.62</v>
      </c>
    </row>
    <row r="203" spans="2:6" ht="15.75" thickBot="1" x14ac:dyDescent="0.3">
      <c r="B203" s="166" t="s">
        <v>41</v>
      </c>
      <c r="C203" s="167">
        <f>IF(C202-C187=0,0,"Error")</f>
        <v>0</v>
      </c>
      <c r="D203" s="167">
        <f>IF(D202-D187=0,0,"Error")</f>
        <v>0</v>
      </c>
      <c r="E203" s="167">
        <f>IF(E202-E187=0,0,"Error")</f>
        <v>0</v>
      </c>
      <c r="F203" s="167">
        <f>IF(F202-F187=0,0,"Error")</f>
        <v>0</v>
      </c>
    </row>
    <row r="204" spans="2:6" ht="15.75" thickBot="1" x14ac:dyDescent="0.3">
      <c r="B204" s="989" t="s">
        <v>63</v>
      </c>
      <c r="C204" s="990"/>
      <c r="D204" s="990"/>
      <c r="E204" s="990"/>
      <c r="F204" s="991"/>
    </row>
    <row r="205" spans="2:6" ht="15.75" thickBot="1" x14ac:dyDescent="0.3">
      <c r="B205" s="989" t="s">
        <v>56</v>
      </c>
      <c r="C205" s="990"/>
      <c r="D205" s="990"/>
      <c r="E205" s="990"/>
      <c r="F205" s="991"/>
    </row>
    <row r="206" spans="2:6" ht="20.25" customHeight="1" thickBot="1" x14ac:dyDescent="0.3">
      <c r="B206" s="67" t="s">
        <v>61</v>
      </c>
      <c r="C206" s="1009"/>
      <c r="D206" s="1010"/>
      <c r="E206" s="1010"/>
      <c r="F206" s="1011"/>
    </row>
    <row r="207" spans="2:6" ht="15.75" thickBot="1" x14ac:dyDescent="0.3">
      <c r="B207" s="160" t="s">
        <v>16</v>
      </c>
      <c r="C207" s="992" t="s">
        <v>106</v>
      </c>
      <c r="D207" s="993"/>
      <c r="E207" s="993"/>
      <c r="F207" s="994"/>
    </row>
    <row r="208" spans="2:6" ht="17.25" customHeight="1" thickBot="1" x14ac:dyDescent="0.3">
      <c r="B208" s="62" t="s">
        <v>17</v>
      </c>
      <c r="C208" s="983" t="s">
        <v>106</v>
      </c>
      <c r="D208" s="984"/>
      <c r="E208" s="984"/>
      <c r="F208" s="985"/>
    </row>
    <row r="209" spans="2:12" ht="15.75" thickBot="1" x14ac:dyDescent="0.3">
      <c r="B209" s="62" t="s">
        <v>18</v>
      </c>
      <c r="C209" s="995" t="s">
        <v>106</v>
      </c>
      <c r="D209" s="996"/>
      <c r="E209" s="996"/>
      <c r="F209" s="997"/>
    </row>
    <row r="210" spans="2:12" ht="12.75" customHeight="1" x14ac:dyDescent="0.25">
      <c r="B210" s="998"/>
      <c r="C210" s="63">
        <v>2018</v>
      </c>
      <c r="D210" s="63">
        <v>2019</v>
      </c>
      <c r="E210" s="63">
        <v>2020</v>
      </c>
      <c r="F210" s="63">
        <v>2021</v>
      </c>
    </row>
    <row r="211" spans="2:12" ht="15.75" thickBot="1" x14ac:dyDescent="0.3">
      <c r="B211" s="999"/>
      <c r="C211" s="64" t="s">
        <v>10</v>
      </c>
      <c r="D211" s="64" t="s">
        <v>11</v>
      </c>
      <c r="E211" s="64" t="s">
        <v>11</v>
      </c>
      <c r="F211" s="64" t="s">
        <v>11</v>
      </c>
    </row>
    <row r="212" spans="2:12" ht="15.75" thickBot="1" x14ac:dyDescent="0.3">
      <c r="B212" s="62" t="s">
        <v>19</v>
      </c>
      <c r="C212" s="161"/>
      <c r="D212" s="161"/>
      <c r="E212" s="161"/>
      <c r="F212" s="161"/>
    </row>
    <row r="213" spans="2:12" ht="15.75" thickBot="1" x14ac:dyDescent="0.3">
      <c r="B213" s="62" t="s">
        <v>20</v>
      </c>
      <c r="C213" s="161"/>
      <c r="D213" s="161"/>
      <c r="E213" s="161"/>
      <c r="F213" s="161"/>
    </row>
    <row r="214" spans="2:12" ht="15.75" thickBot="1" x14ac:dyDescent="0.3">
      <c r="B214" s="62" t="s">
        <v>21</v>
      </c>
      <c r="C214" s="161" t="e">
        <f>C213/C212</f>
        <v>#DIV/0!</v>
      </c>
      <c r="D214" s="161" t="e">
        <f t="shared" ref="D214:F214" si="19">D213/D212</f>
        <v>#DIV/0!</v>
      </c>
      <c r="E214" s="161" t="e">
        <f t="shared" si="19"/>
        <v>#DIV/0!</v>
      </c>
      <c r="F214" s="161" t="e">
        <f t="shared" si="19"/>
        <v>#DIV/0!</v>
      </c>
    </row>
    <row r="215" spans="2:12" ht="15.75" thickBot="1" x14ac:dyDescent="0.3">
      <c r="B215" s="62" t="s">
        <v>22</v>
      </c>
      <c r="C215" s="145" t="s">
        <v>23</v>
      </c>
      <c r="D215" s="162" t="e">
        <f>D212/C212-1</f>
        <v>#DIV/0!</v>
      </c>
      <c r="E215" s="162" t="e">
        <f t="shared" ref="E215:F217" si="20">E212/D212-1</f>
        <v>#DIV/0!</v>
      </c>
      <c r="F215" s="162" t="e">
        <f t="shared" si="20"/>
        <v>#DIV/0!</v>
      </c>
      <c r="H215" s="163"/>
      <c r="I215" s="163"/>
      <c r="J215" s="163"/>
      <c r="K215" s="163"/>
      <c r="L215" s="163"/>
    </row>
    <row r="216" spans="2:12" ht="15.75" thickBot="1" x14ac:dyDescent="0.3">
      <c r="B216" s="62" t="s">
        <v>24</v>
      </c>
      <c r="C216" s="145" t="s">
        <v>23</v>
      </c>
      <c r="D216" s="162" t="e">
        <f>D213/C213-1</f>
        <v>#DIV/0!</v>
      </c>
      <c r="E216" s="162" t="e">
        <f t="shared" si="20"/>
        <v>#DIV/0!</v>
      </c>
      <c r="F216" s="162" t="e">
        <f t="shared" si="20"/>
        <v>#DIV/0!</v>
      </c>
    </row>
    <row r="217" spans="2:12" ht="15.75" thickBot="1" x14ac:dyDescent="0.3">
      <c r="B217" s="62" t="s">
        <v>25</v>
      </c>
      <c r="C217" s="145" t="s">
        <v>23</v>
      </c>
      <c r="D217" s="162" t="e">
        <f>D214/C214-1</f>
        <v>#DIV/0!</v>
      </c>
      <c r="E217" s="162" t="e">
        <f t="shared" si="20"/>
        <v>#DIV/0!</v>
      </c>
      <c r="F217" s="162" t="e">
        <f t="shared" si="20"/>
        <v>#DIV/0!</v>
      </c>
    </row>
    <row r="218" spans="2:12" ht="15.75" thickBot="1" x14ac:dyDescent="0.3">
      <c r="B218" s="1000" t="s">
        <v>784</v>
      </c>
      <c r="C218" s="1001"/>
      <c r="D218" s="1001"/>
      <c r="E218" s="1001"/>
      <c r="F218" s="1002"/>
    </row>
    <row r="219" spans="2:12" ht="12.75" customHeight="1" x14ac:dyDescent="0.25">
      <c r="B219" s="998"/>
      <c r="C219" s="63">
        <v>2018</v>
      </c>
      <c r="D219" s="63">
        <v>2019</v>
      </c>
      <c r="E219" s="63">
        <v>2020</v>
      </c>
      <c r="F219" s="63">
        <v>2021</v>
      </c>
    </row>
    <row r="220" spans="2:12" ht="9" customHeight="1" thickBot="1" x14ac:dyDescent="0.3">
      <c r="B220" s="999"/>
      <c r="C220" s="64" t="s">
        <v>10</v>
      </c>
      <c r="D220" s="64" t="s">
        <v>11</v>
      </c>
      <c r="E220" s="64" t="s">
        <v>11</v>
      </c>
      <c r="F220" s="64" t="s">
        <v>11</v>
      </c>
    </row>
    <row r="221" spans="2:12" ht="15.75" thickBot="1" x14ac:dyDescent="0.3">
      <c r="B221" s="65" t="s">
        <v>58</v>
      </c>
      <c r="C221" s="164"/>
      <c r="D221" s="164"/>
      <c r="E221" s="164"/>
      <c r="F221" s="164"/>
    </row>
    <row r="222" spans="2:12" ht="15.75" thickBot="1" x14ac:dyDescent="0.3">
      <c r="B222" s="65" t="s">
        <v>59</v>
      </c>
      <c r="C222" s="165"/>
      <c r="D222" s="164"/>
      <c r="E222" s="164"/>
      <c r="F222" s="164"/>
    </row>
    <row r="223" spans="2:12" ht="15.75" thickBot="1" x14ac:dyDescent="0.3">
      <c r="B223" s="66" t="s">
        <v>40</v>
      </c>
      <c r="C223" s="165">
        <f>C222+C221</f>
        <v>0</v>
      </c>
      <c r="D223" s="165">
        <f t="shared" ref="D223:F223" si="21">D222+D221</f>
        <v>0</v>
      </c>
      <c r="E223" s="165">
        <f t="shared" si="21"/>
        <v>0</v>
      </c>
      <c r="F223" s="165">
        <f t="shared" si="21"/>
        <v>0</v>
      </c>
    </row>
    <row r="224" spans="2:12" ht="15.75" thickBot="1" x14ac:dyDescent="0.3">
      <c r="B224" s="67" t="s">
        <v>61</v>
      </c>
      <c r="C224" s="1009" t="s">
        <v>130</v>
      </c>
      <c r="D224" s="1010"/>
      <c r="E224" s="1010"/>
      <c r="F224" s="1011"/>
    </row>
    <row r="225" spans="2:12" ht="15.75" thickBot="1" x14ac:dyDescent="0.3">
      <c r="B225" s="160" t="s">
        <v>42</v>
      </c>
      <c r="C225" s="992" t="s">
        <v>106</v>
      </c>
      <c r="D225" s="993"/>
      <c r="E225" s="993"/>
      <c r="F225" s="994"/>
    </row>
    <row r="226" spans="2:12" ht="17.25" customHeight="1" thickBot="1" x14ac:dyDescent="0.3">
      <c r="B226" s="62" t="s">
        <v>17</v>
      </c>
      <c r="C226" s="983" t="s">
        <v>106</v>
      </c>
      <c r="D226" s="984"/>
      <c r="E226" s="984"/>
      <c r="F226" s="985"/>
    </row>
    <row r="227" spans="2:12" ht="15.75" thickBot="1" x14ac:dyDescent="0.3">
      <c r="B227" s="62" t="s">
        <v>18</v>
      </c>
      <c r="C227" s="995" t="s">
        <v>106</v>
      </c>
      <c r="D227" s="996"/>
      <c r="E227" s="996"/>
      <c r="F227" s="997"/>
    </row>
    <row r="228" spans="2:12" ht="12.75" customHeight="1" x14ac:dyDescent="0.25">
      <c r="B228" s="998"/>
      <c r="C228" s="63">
        <v>2018</v>
      </c>
      <c r="D228" s="63">
        <v>2019</v>
      </c>
      <c r="E228" s="63">
        <v>2020</v>
      </c>
      <c r="F228" s="63">
        <v>2021</v>
      </c>
    </row>
    <row r="229" spans="2:12" ht="15.75" thickBot="1" x14ac:dyDescent="0.3">
      <c r="B229" s="999"/>
      <c r="C229" s="64" t="s">
        <v>10</v>
      </c>
      <c r="D229" s="64" t="s">
        <v>11</v>
      </c>
      <c r="E229" s="64" t="s">
        <v>11</v>
      </c>
      <c r="F229" s="64" t="s">
        <v>11</v>
      </c>
    </row>
    <row r="230" spans="2:12" ht="15.75" thickBot="1" x14ac:dyDescent="0.3">
      <c r="B230" s="62" t="s">
        <v>19</v>
      </c>
      <c r="C230" s="161"/>
      <c r="D230" s="161"/>
      <c r="E230" s="161"/>
      <c r="F230" s="161"/>
    </row>
    <row r="231" spans="2:12" ht="15.75" thickBot="1" x14ac:dyDescent="0.3">
      <c r="B231" s="62" t="s">
        <v>20</v>
      </c>
      <c r="C231" s="161"/>
      <c r="D231" s="161"/>
      <c r="E231" s="161"/>
      <c r="F231" s="161"/>
    </row>
    <row r="232" spans="2:12" ht="15.75" thickBot="1" x14ac:dyDescent="0.3">
      <c r="B232" s="62" t="s">
        <v>21</v>
      </c>
      <c r="C232" s="161" t="e">
        <f>C231/C230</f>
        <v>#DIV/0!</v>
      </c>
      <c r="D232" s="161" t="e">
        <f t="shared" ref="D232:F232" si="22">D231/D230</f>
        <v>#DIV/0!</v>
      </c>
      <c r="E232" s="161" t="e">
        <f t="shared" si="22"/>
        <v>#DIV/0!</v>
      </c>
      <c r="F232" s="161" t="e">
        <f t="shared" si="22"/>
        <v>#DIV/0!</v>
      </c>
    </row>
    <row r="233" spans="2:12" ht="15.75" thickBot="1" x14ac:dyDescent="0.3">
      <c r="B233" s="62" t="s">
        <v>22</v>
      </c>
      <c r="C233" s="145" t="s">
        <v>23</v>
      </c>
      <c r="D233" s="162" t="e">
        <f>D230/C230-1</f>
        <v>#DIV/0!</v>
      </c>
      <c r="E233" s="162" t="e">
        <f t="shared" ref="E233:F235" si="23">E230/D230-1</f>
        <v>#DIV/0!</v>
      </c>
      <c r="F233" s="162" t="e">
        <f t="shared" si="23"/>
        <v>#DIV/0!</v>
      </c>
      <c r="H233" s="163"/>
      <c r="I233" s="163"/>
      <c r="J233" s="163"/>
      <c r="K233" s="163"/>
      <c r="L233" s="163"/>
    </row>
    <row r="234" spans="2:12" ht="15.75" thickBot="1" x14ac:dyDescent="0.3">
      <c r="B234" s="62" t="s">
        <v>24</v>
      </c>
      <c r="C234" s="145" t="s">
        <v>23</v>
      </c>
      <c r="D234" s="162" t="e">
        <f>D231/C231-1</f>
        <v>#DIV/0!</v>
      </c>
      <c r="E234" s="162" t="e">
        <f t="shared" si="23"/>
        <v>#DIV/0!</v>
      </c>
      <c r="F234" s="162" t="e">
        <f t="shared" si="23"/>
        <v>#DIV/0!</v>
      </c>
    </row>
    <row r="235" spans="2:12" ht="15.75" thickBot="1" x14ac:dyDescent="0.3">
      <c r="B235" s="62" t="s">
        <v>25</v>
      </c>
      <c r="C235" s="145" t="s">
        <v>23</v>
      </c>
      <c r="D235" s="162" t="e">
        <f>D232/C232-1</f>
        <v>#DIV/0!</v>
      </c>
      <c r="E235" s="162" t="e">
        <f t="shared" si="23"/>
        <v>#DIV/0!</v>
      </c>
      <c r="F235" s="162" t="e">
        <f t="shared" si="23"/>
        <v>#DIV/0!</v>
      </c>
    </row>
    <row r="236" spans="2:12" ht="15.75" thickBot="1" x14ac:dyDescent="0.3">
      <c r="B236" s="1000" t="s">
        <v>793</v>
      </c>
      <c r="C236" s="1001"/>
      <c r="D236" s="1001"/>
      <c r="E236" s="1001"/>
      <c r="F236" s="1002"/>
    </row>
    <row r="237" spans="2:12" ht="12.75" customHeight="1" x14ac:dyDescent="0.25">
      <c r="B237" s="998"/>
      <c r="C237" s="63">
        <v>2018</v>
      </c>
      <c r="D237" s="63">
        <v>2019</v>
      </c>
      <c r="E237" s="63">
        <v>2020</v>
      </c>
      <c r="F237" s="63">
        <v>2021</v>
      </c>
    </row>
    <row r="238" spans="2:12" ht="22.5" customHeight="1" thickBot="1" x14ac:dyDescent="0.3">
      <c r="B238" s="999"/>
      <c r="C238" s="64" t="s">
        <v>10</v>
      </c>
      <c r="D238" s="64" t="s">
        <v>11</v>
      </c>
      <c r="E238" s="64" t="s">
        <v>11</v>
      </c>
      <c r="F238" s="64" t="s">
        <v>11</v>
      </c>
    </row>
    <row r="239" spans="2:12" ht="15.75" thickBot="1" x14ac:dyDescent="0.3">
      <c r="B239" s="65" t="s">
        <v>58</v>
      </c>
      <c r="C239" s="164"/>
      <c r="D239" s="164"/>
      <c r="E239" s="164"/>
      <c r="F239" s="164"/>
    </row>
    <row r="240" spans="2:12" ht="15.75" thickBot="1" x14ac:dyDescent="0.3">
      <c r="B240" s="65" t="s">
        <v>59</v>
      </c>
      <c r="C240" s="165"/>
      <c r="D240" s="164"/>
      <c r="E240" s="164"/>
      <c r="F240" s="164"/>
    </row>
    <row r="241" spans="2:12" ht="15.75" thickBot="1" x14ac:dyDescent="0.3">
      <c r="B241" s="66" t="s">
        <v>74</v>
      </c>
      <c r="C241" s="165">
        <f>C240+C239</f>
        <v>0</v>
      </c>
      <c r="D241" s="165">
        <f t="shared" ref="D241:F241" si="24">D240+D239</f>
        <v>0</v>
      </c>
      <c r="E241" s="165">
        <f t="shared" si="24"/>
        <v>0</v>
      </c>
      <c r="F241" s="165">
        <f t="shared" si="24"/>
        <v>0</v>
      </c>
    </row>
    <row r="242" spans="2:12" ht="15.75" thickBot="1" x14ac:dyDescent="0.3">
      <c r="B242" s="989" t="s">
        <v>63</v>
      </c>
      <c r="C242" s="990"/>
      <c r="D242" s="990"/>
      <c r="E242" s="990"/>
      <c r="F242" s="991"/>
    </row>
    <row r="243" spans="2:12" ht="15.75" thickBot="1" x14ac:dyDescent="0.3">
      <c r="B243" s="989" t="s">
        <v>64</v>
      </c>
      <c r="C243" s="990"/>
      <c r="D243" s="990"/>
      <c r="E243" s="990"/>
      <c r="F243" s="991"/>
    </row>
    <row r="244" spans="2:12" ht="15.75" thickBot="1" x14ac:dyDescent="0.3">
      <c r="B244" s="67" t="s">
        <v>61</v>
      </c>
      <c r="C244" s="1009" t="s">
        <v>130</v>
      </c>
      <c r="D244" s="1010"/>
      <c r="E244" s="1010"/>
      <c r="F244" s="1011"/>
    </row>
    <row r="245" spans="2:12" ht="15.75" thickBot="1" x14ac:dyDescent="0.3">
      <c r="B245" s="160" t="s">
        <v>16</v>
      </c>
      <c r="C245" s="992" t="s">
        <v>460</v>
      </c>
      <c r="D245" s="993"/>
      <c r="E245" s="993"/>
      <c r="F245" s="994"/>
    </row>
    <row r="246" spans="2:12" ht="17.25" customHeight="1" thickBot="1" x14ac:dyDescent="0.3">
      <c r="B246" s="62" t="s">
        <v>17</v>
      </c>
      <c r="C246" s="983" t="s">
        <v>461</v>
      </c>
      <c r="D246" s="984"/>
      <c r="E246" s="984"/>
      <c r="F246" s="985"/>
    </row>
    <row r="247" spans="2:12" ht="15.75" thickBot="1" x14ac:dyDescent="0.3">
      <c r="B247" s="62" t="s">
        <v>18</v>
      </c>
      <c r="C247" s="995" t="s">
        <v>462</v>
      </c>
      <c r="D247" s="996"/>
      <c r="E247" s="996"/>
      <c r="F247" s="997"/>
    </row>
    <row r="248" spans="2:12" ht="12.75" customHeight="1" x14ac:dyDescent="0.25">
      <c r="B248" s="998"/>
      <c r="C248" s="63">
        <v>2018</v>
      </c>
      <c r="D248" s="63">
        <v>2019</v>
      </c>
      <c r="E248" s="63">
        <v>2020</v>
      </c>
      <c r="F248" s="63">
        <v>2021</v>
      </c>
    </row>
    <row r="249" spans="2:12" ht="15.75" thickBot="1" x14ac:dyDescent="0.3">
      <c r="B249" s="999"/>
      <c r="C249" s="64" t="s">
        <v>10</v>
      </c>
      <c r="D249" s="64" t="s">
        <v>11</v>
      </c>
      <c r="E249" s="64" t="s">
        <v>11</v>
      </c>
      <c r="F249" s="64" t="s">
        <v>11</v>
      </c>
    </row>
    <row r="250" spans="2:12" ht="15.75" thickBot="1" x14ac:dyDescent="0.3">
      <c r="B250" s="62" t="s">
        <v>19</v>
      </c>
      <c r="C250" s="161">
        <v>10</v>
      </c>
      <c r="D250" s="161">
        <v>10</v>
      </c>
      <c r="E250" s="161">
        <v>10</v>
      </c>
      <c r="F250" s="161">
        <v>10</v>
      </c>
    </row>
    <row r="251" spans="2:12" ht="15.75" thickBot="1" x14ac:dyDescent="0.3">
      <c r="B251" s="62" t="s">
        <v>20</v>
      </c>
      <c r="C251" s="161">
        <v>100</v>
      </c>
      <c r="D251" s="161">
        <v>100</v>
      </c>
      <c r="E251" s="161">
        <v>100</v>
      </c>
      <c r="F251" s="161">
        <v>100</v>
      </c>
    </row>
    <row r="252" spans="2:12" ht="15.75" thickBot="1" x14ac:dyDescent="0.3">
      <c r="B252" s="62" t="s">
        <v>21</v>
      </c>
      <c r="C252" s="161">
        <f>C251/C250</f>
        <v>10</v>
      </c>
      <c r="D252" s="161">
        <f t="shared" ref="D252:F252" si="25">D251/D250</f>
        <v>10</v>
      </c>
      <c r="E252" s="161">
        <f t="shared" si="25"/>
        <v>10</v>
      </c>
      <c r="F252" s="161">
        <f t="shared" si="25"/>
        <v>10</v>
      </c>
    </row>
    <row r="253" spans="2:12" ht="15.75" thickBot="1" x14ac:dyDescent="0.3">
      <c r="B253" s="62" t="s">
        <v>22</v>
      </c>
      <c r="C253" s="145" t="s">
        <v>23</v>
      </c>
      <c r="D253" s="162">
        <f>D250/C250-1</f>
        <v>0</v>
      </c>
      <c r="E253" s="162">
        <f t="shared" ref="E253:F255" si="26">E250/D250-1</f>
        <v>0</v>
      </c>
      <c r="F253" s="162">
        <f t="shared" si="26"/>
        <v>0</v>
      </c>
      <c r="H253" s="163"/>
      <c r="I253" s="163"/>
      <c r="J253" s="163"/>
      <c r="K253" s="163"/>
      <c r="L253" s="163"/>
    </row>
    <row r="254" spans="2:12" ht="15.75" thickBot="1" x14ac:dyDescent="0.3">
      <c r="B254" s="62" t="s">
        <v>24</v>
      </c>
      <c r="C254" s="145" t="s">
        <v>23</v>
      </c>
      <c r="D254" s="162">
        <f>D251/C251-1</f>
        <v>0</v>
      </c>
      <c r="E254" s="162">
        <f t="shared" si="26"/>
        <v>0</v>
      </c>
      <c r="F254" s="162">
        <f t="shared" si="26"/>
        <v>0</v>
      </c>
    </row>
    <row r="255" spans="2:12" ht="15.75" thickBot="1" x14ac:dyDescent="0.3">
      <c r="B255" s="62" t="s">
        <v>25</v>
      </c>
      <c r="C255" s="145" t="s">
        <v>23</v>
      </c>
      <c r="D255" s="162">
        <f>D252/C252-1</f>
        <v>0</v>
      </c>
      <c r="E255" s="162">
        <f t="shared" si="26"/>
        <v>0</v>
      </c>
      <c r="F255" s="162">
        <f t="shared" si="26"/>
        <v>0</v>
      </c>
    </row>
    <row r="256" spans="2:12" ht="15.75" thickBot="1" x14ac:dyDescent="0.3">
      <c r="B256" s="1000" t="s">
        <v>784</v>
      </c>
      <c r="C256" s="1001"/>
      <c r="D256" s="1001"/>
      <c r="E256" s="1001"/>
      <c r="F256" s="1002"/>
    </row>
    <row r="257" spans="2:12" ht="12.75" customHeight="1" x14ac:dyDescent="0.25">
      <c r="B257" s="998"/>
      <c r="C257" s="63">
        <v>2018</v>
      </c>
      <c r="D257" s="63">
        <v>2019</v>
      </c>
      <c r="E257" s="63">
        <v>2020</v>
      </c>
      <c r="F257" s="63">
        <v>2021</v>
      </c>
    </row>
    <row r="258" spans="2:12" ht="15.75" thickBot="1" x14ac:dyDescent="0.3">
      <c r="B258" s="999"/>
      <c r="C258" s="64" t="s">
        <v>10</v>
      </c>
      <c r="D258" s="64" t="s">
        <v>11</v>
      </c>
      <c r="E258" s="64" t="s">
        <v>11</v>
      </c>
      <c r="F258" s="64" t="s">
        <v>11</v>
      </c>
    </row>
    <row r="259" spans="2:12" ht="15.75" thickBot="1" x14ac:dyDescent="0.3">
      <c r="B259" s="65" t="s">
        <v>58</v>
      </c>
      <c r="C259" s="164"/>
      <c r="D259" s="164"/>
      <c r="E259" s="164"/>
      <c r="F259" s="164"/>
    </row>
    <row r="260" spans="2:12" ht="15.75" thickBot="1" x14ac:dyDescent="0.3">
      <c r="B260" s="65" t="s">
        <v>59</v>
      </c>
      <c r="C260" s="165">
        <v>100</v>
      </c>
      <c r="D260" s="164">
        <v>100</v>
      </c>
      <c r="E260" s="164">
        <v>100</v>
      </c>
      <c r="F260" s="164">
        <v>100</v>
      </c>
    </row>
    <row r="261" spans="2:12" ht="15.75" thickBot="1" x14ac:dyDescent="0.3">
      <c r="B261" s="66" t="s">
        <v>40</v>
      </c>
      <c r="C261" s="165">
        <f>C260+C259</f>
        <v>100</v>
      </c>
      <c r="D261" s="165">
        <f t="shared" ref="D261:F261" si="27">D260+D259</f>
        <v>100</v>
      </c>
      <c r="E261" s="165">
        <f t="shared" si="27"/>
        <v>100</v>
      </c>
      <c r="F261" s="165">
        <f t="shared" si="27"/>
        <v>100</v>
      </c>
    </row>
    <row r="262" spans="2:12" ht="15.75" thickBot="1" x14ac:dyDescent="0.3">
      <c r="B262" s="67" t="s">
        <v>61</v>
      </c>
      <c r="C262" s="1009" t="s">
        <v>130</v>
      </c>
      <c r="D262" s="1010"/>
      <c r="E262" s="1010"/>
      <c r="F262" s="1011"/>
    </row>
    <row r="263" spans="2:12" ht="15.75" thickBot="1" x14ac:dyDescent="0.3">
      <c r="B263" s="160" t="s">
        <v>42</v>
      </c>
      <c r="C263" s="992" t="s">
        <v>131</v>
      </c>
      <c r="D263" s="993"/>
      <c r="E263" s="993"/>
      <c r="F263" s="994"/>
    </row>
    <row r="264" spans="2:12" ht="17.25" customHeight="1" thickBot="1" x14ac:dyDescent="0.3">
      <c r="B264" s="62" t="s">
        <v>17</v>
      </c>
      <c r="C264" s="983" t="s">
        <v>463</v>
      </c>
      <c r="D264" s="984"/>
      <c r="E264" s="984"/>
      <c r="F264" s="985"/>
    </row>
    <row r="265" spans="2:12" ht="15.75" thickBot="1" x14ac:dyDescent="0.3">
      <c r="B265" s="62" t="s">
        <v>18</v>
      </c>
      <c r="C265" s="995" t="s">
        <v>151</v>
      </c>
      <c r="D265" s="996"/>
      <c r="E265" s="996"/>
      <c r="F265" s="997"/>
    </row>
    <row r="266" spans="2:12" ht="12.75" customHeight="1" x14ac:dyDescent="0.25">
      <c r="B266" s="998"/>
      <c r="C266" s="63">
        <v>2018</v>
      </c>
      <c r="D266" s="63">
        <v>2019</v>
      </c>
      <c r="E266" s="63">
        <v>2020</v>
      </c>
      <c r="F266" s="63">
        <v>2021</v>
      </c>
    </row>
    <row r="267" spans="2:12" ht="15.75" thickBot="1" x14ac:dyDescent="0.3">
      <c r="B267" s="999"/>
      <c r="C267" s="64" t="s">
        <v>10</v>
      </c>
      <c r="D267" s="64" t="s">
        <v>11</v>
      </c>
      <c r="E267" s="64" t="s">
        <v>11</v>
      </c>
      <c r="F267" s="64" t="s">
        <v>11</v>
      </c>
    </row>
    <row r="268" spans="2:12" ht="15.75" thickBot="1" x14ac:dyDescent="0.3">
      <c r="B268" s="62" t="s">
        <v>19</v>
      </c>
      <c r="C268" s="161">
        <v>4</v>
      </c>
      <c r="D268" s="161">
        <v>4</v>
      </c>
      <c r="E268" s="161">
        <v>4</v>
      </c>
      <c r="F268" s="161">
        <v>4</v>
      </c>
    </row>
    <row r="269" spans="2:12" ht="15.75" thickBot="1" x14ac:dyDescent="0.3">
      <c r="B269" s="62" t="s">
        <v>20</v>
      </c>
      <c r="C269" s="161">
        <v>120</v>
      </c>
      <c r="D269" s="161">
        <v>120</v>
      </c>
      <c r="E269" s="161">
        <v>120</v>
      </c>
      <c r="F269" s="161">
        <v>120</v>
      </c>
    </row>
    <row r="270" spans="2:12" ht="15.75" thickBot="1" x14ac:dyDescent="0.3">
      <c r="B270" s="62" t="s">
        <v>21</v>
      </c>
      <c r="C270" s="161">
        <f>C269/C268</f>
        <v>30</v>
      </c>
      <c r="D270" s="161">
        <f t="shared" ref="D270:F270" si="28">D269/D268</f>
        <v>30</v>
      </c>
      <c r="E270" s="161">
        <f t="shared" si="28"/>
        <v>30</v>
      </c>
      <c r="F270" s="161">
        <f t="shared" si="28"/>
        <v>30</v>
      </c>
    </row>
    <row r="271" spans="2:12" ht="15.75" thickBot="1" x14ac:dyDescent="0.3">
      <c r="B271" s="62" t="s">
        <v>22</v>
      </c>
      <c r="C271" s="145" t="s">
        <v>23</v>
      </c>
      <c r="D271" s="162">
        <f>D268/C268-1</f>
        <v>0</v>
      </c>
      <c r="E271" s="162">
        <f t="shared" ref="E271:F273" si="29">E268/D268-1</f>
        <v>0</v>
      </c>
      <c r="F271" s="162">
        <f t="shared" si="29"/>
        <v>0</v>
      </c>
      <c r="H271" s="163"/>
      <c r="I271" s="163"/>
      <c r="J271" s="163"/>
      <c r="K271" s="163"/>
      <c r="L271" s="163"/>
    </row>
    <row r="272" spans="2:12" ht="15.75" thickBot="1" x14ac:dyDescent="0.3">
      <c r="B272" s="62" t="s">
        <v>24</v>
      </c>
      <c r="C272" s="145" t="s">
        <v>23</v>
      </c>
      <c r="D272" s="162">
        <f>D269/C269-1</f>
        <v>0</v>
      </c>
      <c r="E272" s="162">
        <f t="shared" si="29"/>
        <v>0</v>
      </c>
      <c r="F272" s="162">
        <f t="shared" si="29"/>
        <v>0</v>
      </c>
    </row>
    <row r="273" spans="2:6" ht="15.75" thickBot="1" x14ac:dyDescent="0.3">
      <c r="B273" s="62" t="s">
        <v>25</v>
      </c>
      <c r="C273" s="145" t="s">
        <v>23</v>
      </c>
      <c r="D273" s="162">
        <f>D270/C270-1</f>
        <v>0</v>
      </c>
      <c r="E273" s="162">
        <f t="shared" si="29"/>
        <v>0</v>
      </c>
      <c r="F273" s="162">
        <f t="shared" si="29"/>
        <v>0</v>
      </c>
    </row>
    <row r="274" spans="2:6" ht="15.75" thickBot="1" x14ac:dyDescent="0.3">
      <c r="B274" s="1000" t="s">
        <v>786</v>
      </c>
      <c r="C274" s="1001"/>
      <c r="D274" s="1001"/>
      <c r="E274" s="1001"/>
      <c r="F274" s="1002"/>
    </row>
    <row r="275" spans="2:6" ht="12.75" customHeight="1" x14ac:dyDescent="0.25">
      <c r="B275" s="998"/>
      <c r="C275" s="63">
        <v>2018</v>
      </c>
      <c r="D275" s="63">
        <v>2019</v>
      </c>
      <c r="E275" s="63">
        <v>2020</v>
      </c>
      <c r="F275" s="63">
        <v>2021</v>
      </c>
    </row>
    <row r="276" spans="2:6" ht="15.75" thickBot="1" x14ac:dyDescent="0.3">
      <c r="B276" s="999"/>
      <c r="C276" s="64" t="s">
        <v>10</v>
      </c>
      <c r="D276" s="64" t="s">
        <v>11</v>
      </c>
      <c r="E276" s="64" t="s">
        <v>11</v>
      </c>
      <c r="F276" s="64" t="s">
        <v>11</v>
      </c>
    </row>
    <row r="277" spans="2:6" ht="15.75" thickBot="1" x14ac:dyDescent="0.3">
      <c r="B277" s="65" t="s">
        <v>58</v>
      </c>
      <c r="C277" s="164"/>
      <c r="D277" s="164"/>
      <c r="E277" s="164"/>
      <c r="F277" s="164"/>
    </row>
    <row r="278" spans="2:6" ht="15.75" thickBot="1" x14ac:dyDescent="0.3">
      <c r="B278" s="65" t="s">
        <v>59</v>
      </c>
      <c r="C278" s="165">
        <v>120</v>
      </c>
      <c r="D278" s="164">
        <v>120</v>
      </c>
      <c r="E278" s="164">
        <v>120</v>
      </c>
      <c r="F278" s="164">
        <v>120</v>
      </c>
    </row>
    <row r="279" spans="2:6" ht="15.75" thickBot="1" x14ac:dyDescent="0.3">
      <c r="B279" s="66" t="s">
        <v>43</v>
      </c>
      <c r="C279" s="165">
        <f>C278+C277</f>
        <v>120</v>
      </c>
      <c r="D279" s="165">
        <f t="shared" ref="D279:F279" si="30">D278+D277</f>
        <v>120</v>
      </c>
      <c r="E279" s="165">
        <f t="shared" si="30"/>
        <v>120</v>
      </c>
      <c r="F279" s="165">
        <f t="shared" si="30"/>
        <v>120</v>
      </c>
    </row>
    <row r="280" spans="2:6" ht="15.75" thickBot="1" x14ac:dyDescent="0.3">
      <c r="B280" s="67" t="s">
        <v>61</v>
      </c>
      <c r="C280" s="1009" t="s">
        <v>130</v>
      </c>
      <c r="D280" s="1010"/>
      <c r="E280" s="1010"/>
      <c r="F280" s="1011"/>
    </row>
    <row r="281" spans="2:6" ht="15.75" thickBot="1" x14ac:dyDescent="0.3">
      <c r="B281" s="160" t="s">
        <v>44</v>
      </c>
      <c r="C281" s="992" t="s">
        <v>464</v>
      </c>
      <c r="D281" s="993"/>
      <c r="E281" s="993"/>
      <c r="F281" s="994"/>
    </row>
    <row r="282" spans="2:6" ht="33" customHeight="1" thickBot="1" x14ac:dyDescent="0.3">
      <c r="B282" s="62" t="s">
        <v>17</v>
      </c>
      <c r="C282" s="983" t="s">
        <v>465</v>
      </c>
      <c r="D282" s="984"/>
      <c r="E282" s="984"/>
      <c r="F282" s="985"/>
    </row>
    <row r="283" spans="2:6" ht="15.75" thickBot="1" x14ac:dyDescent="0.3">
      <c r="B283" s="62" t="s">
        <v>18</v>
      </c>
      <c r="C283" s="995" t="s">
        <v>151</v>
      </c>
      <c r="D283" s="996"/>
      <c r="E283" s="996"/>
      <c r="F283" s="997"/>
    </row>
    <row r="284" spans="2:6" ht="12.75" customHeight="1" x14ac:dyDescent="0.25">
      <c r="B284" s="998"/>
      <c r="C284" s="63">
        <v>2018</v>
      </c>
      <c r="D284" s="63">
        <v>2019</v>
      </c>
      <c r="E284" s="63">
        <v>2020</v>
      </c>
      <c r="F284" s="63">
        <v>2021</v>
      </c>
    </row>
    <row r="285" spans="2:6" ht="15.75" thickBot="1" x14ac:dyDescent="0.3">
      <c r="B285" s="999"/>
      <c r="C285" s="64" t="s">
        <v>10</v>
      </c>
      <c r="D285" s="64" t="s">
        <v>11</v>
      </c>
      <c r="E285" s="64" t="s">
        <v>11</v>
      </c>
      <c r="F285" s="64" t="s">
        <v>11</v>
      </c>
    </row>
    <row r="286" spans="2:6" ht="15.75" thickBot="1" x14ac:dyDescent="0.3">
      <c r="B286" s="62" t="s">
        <v>19</v>
      </c>
      <c r="C286" s="161">
        <v>5</v>
      </c>
      <c r="D286" s="161">
        <v>8</v>
      </c>
      <c r="E286" s="161">
        <v>8</v>
      </c>
      <c r="F286" s="161">
        <v>8</v>
      </c>
    </row>
    <row r="287" spans="2:6" ht="15.75" thickBot="1" x14ac:dyDescent="0.3">
      <c r="B287" s="62" t="s">
        <v>20</v>
      </c>
      <c r="C287" s="161">
        <v>780</v>
      </c>
      <c r="D287" s="161">
        <v>780</v>
      </c>
      <c r="E287" s="161">
        <v>780</v>
      </c>
      <c r="F287" s="161">
        <v>780</v>
      </c>
    </row>
    <row r="288" spans="2:6" ht="15.75" thickBot="1" x14ac:dyDescent="0.3">
      <c r="B288" s="62" t="s">
        <v>21</v>
      </c>
      <c r="C288" s="161">
        <f>C287/C286</f>
        <v>156</v>
      </c>
      <c r="D288" s="161">
        <f t="shared" ref="D288:F288" si="31">D287/D286</f>
        <v>97.5</v>
      </c>
      <c r="E288" s="161">
        <f t="shared" si="31"/>
        <v>97.5</v>
      </c>
      <c r="F288" s="161">
        <f t="shared" si="31"/>
        <v>97.5</v>
      </c>
    </row>
    <row r="289" spans="2:12" ht="15.75" thickBot="1" x14ac:dyDescent="0.3">
      <c r="B289" s="62" t="s">
        <v>22</v>
      </c>
      <c r="C289" s="145" t="s">
        <v>23</v>
      </c>
      <c r="D289" s="162">
        <f>D286/C286-1</f>
        <v>0.60000000000000009</v>
      </c>
      <c r="E289" s="162">
        <f t="shared" ref="E289:F291" si="32">E286/D286-1</f>
        <v>0</v>
      </c>
      <c r="F289" s="162">
        <f t="shared" si="32"/>
        <v>0</v>
      </c>
      <c r="H289" s="163"/>
      <c r="I289" s="163"/>
      <c r="J289" s="163"/>
      <c r="K289" s="163"/>
      <c r="L289" s="163"/>
    </row>
    <row r="290" spans="2:12" ht="15.75" thickBot="1" x14ac:dyDescent="0.3">
      <c r="B290" s="62" t="s">
        <v>24</v>
      </c>
      <c r="C290" s="145" t="s">
        <v>23</v>
      </c>
      <c r="D290" s="162">
        <f>D287/C287-1</f>
        <v>0</v>
      </c>
      <c r="E290" s="162">
        <f t="shared" si="32"/>
        <v>0</v>
      </c>
      <c r="F290" s="162">
        <f t="shared" si="32"/>
        <v>0</v>
      </c>
    </row>
    <row r="291" spans="2:12" ht="15.75" thickBot="1" x14ac:dyDescent="0.3">
      <c r="B291" s="62" t="s">
        <v>25</v>
      </c>
      <c r="C291" s="145" t="s">
        <v>23</v>
      </c>
      <c r="D291" s="162">
        <f>D288/C288-1</f>
        <v>-0.375</v>
      </c>
      <c r="E291" s="162">
        <f t="shared" si="32"/>
        <v>0</v>
      </c>
      <c r="F291" s="162">
        <f t="shared" si="32"/>
        <v>0</v>
      </c>
    </row>
    <row r="292" spans="2:12" ht="15.75" thickBot="1" x14ac:dyDescent="0.3">
      <c r="B292" s="1000" t="s">
        <v>787</v>
      </c>
      <c r="C292" s="1001"/>
      <c r="D292" s="1001"/>
      <c r="E292" s="1001"/>
      <c r="F292" s="1002"/>
    </row>
    <row r="293" spans="2:12" ht="12.75" customHeight="1" x14ac:dyDescent="0.25">
      <c r="B293" s="998"/>
      <c r="C293" s="63">
        <v>2018</v>
      </c>
      <c r="D293" s="63">
        <v>2019</v>
      </c>
      <c r="E293" s="63">
        <v>2020</v>
      </c>
      <c r="F293" s="63">
        <v>2021</v>
      </c>
    </row>
    <row r="294" spans="2:12" ht="15.75" thickBot="1" x14ac:dyDescent="0.3">
      <c r="B294" s="999"/>
      <c r="C294" s="64" t="s">
        <v>10</v>
      </c>
      <c r="D294" s="64" t="s">
        <v>11</v>
      </c>
      <c r="E294" s="64" t="s">
        <v>11</v>
      </c>
      <c r="F294" s="64" t="s">
        <v>11</v>
      </c>
    </row>
    <row r="295" spans="2:12" ht="15.75" thickBot="1" x14ac:dyDescent="0.3">
      <c r="B295" s="65" t="s">
        <v>58</v>
      </c>
      <c r="C295" s="164"/>
      <c r="D295" s="164"/>
      <c r="E295" s="164"/>
      <c r="F295" s="164"/>
    </row>
    <row r="296" spans="2:12" ht="15.75" thickBot="1" x14ac:dyDescent="0.3">
      <c r="B296" s="65" t="s">
        <v>59</v>
      </c>
      <c r="C296" s="165">
        <v>780</v>
      </c>
      <c r="D296" s="165">
        <v>780</v>
      </c>
      <c r="E296" s="165">
        <v>780</v>
      </c>
      <c r="F296" s="165">
        <v>780</v>
      </c>
    </row>
    <row r="297" spans="2:12" ht="15.75" thickBot="1" x14ac:dyDescent="0.3">
      <c r="B297" s="66" t="s">
        <v>52</v>
      </c>
      <c r="C297" s="165">
        <f>C296+C295</f>
        <v>780</v>
      </c>
      <c r="D297" s="165">
        <f t="shared" ref="D297:F297" si="33">D296+D295</f>
        <v>780</v>
      </c>
      <c r="E297" s="165">
        <f t="shared" si="33"/>
        <v>780</v>
      </c>
      <c r="F297" s="165">
        <f t="shared" si="33"/>
        <v>780</v>
      </c>
    </row>
    <row r="298" spans="2:12" ht="15.75" thickBot="1" x14ac:dyDescent="0.3">
      <c r="B298" s="175"/>
      <c r="C298" s="176"/>
      <c r="D298" s="176"/>
      <c r="E298" s="176"/>
      <c r="F298" s="176"/>
    </row>
    <row r="299" spans="2:12" ht="27" customHeight="1" thickBot="1" x14ac:dyDescent="0.3">
      <c r="B299" s="158" t="s">
        <v>82</v>
      </c>
      <c r="C299" s="177">
        <f>C269+C251+C231+C213+C187+C164+C138+C120+C100+C79+C53+C30+C287</f>
        <v>41300</v>
      </c>
      <c r="D299" s="177">
        <f>D269+D251+D231+D213+D187+D164+D138+D120+D100+D79+D53+D30+D287</f>
        <v>41300</v>
      </c>
      <c r="E299" s="177">
        <f t="shared" ref="E299:F299" si="34">E269+E251+E231+E213+E187+E164+E138+E120+E100+E79+E53+E30+E287</f>
        <v>42000</v>
      </c>
      <c r="F299" s="177">
        <f t="shared" si="34"/>
        <v>42500</v>
      </c>
    </row>
    <row r="300" spans="2:12" ht="15.75" thickBot="1" x14ac:dyDescent="0.3">
      <c r="B300" s="158" t="s">
        <v>83</v>
      </c>
      <c r="C300" s="177">
        <f>C302+C304+C306+C308+C310+C312+C314+C316+C318</f>
        <v>41300</v>
      </c>
      <c r="D300" s="177">
        <f>D302+D304+D306+D308+D310+D312+D314+D316+D318</f>
        <v>41300</v>
      </c>
      <c r="E300" s="177">
        <f>E302+E304+E306+E308+E310+E312+E314+E316+E318</f>
        <v>42000</v>
      </c>
      <c r="F300" s="177">
        <f>F302+F304+F306+F308+F310+F312+F314+F316+F318</f>
        <v>42500</v>
      </c>
    </row>
    <row r="301" spans="2:12" ht="28.5" customHeight="1" thickBot="1" x14ac:dyDescent="0.3">
      <c r="B301" s="178" t="s">
        <v>84</v>
      </c>
      <c r="C301" s="179"/>
      <c r="D301" s="180">
        <f>D300/C300-1</f>
        <v>0</v>
      </c>
      <c r="E301" s="180">
        <f t="shared" ref="E301:F301" si="35">E300/D300-1</f>
        <v>1.6949152542372836E-2</v>
      </c>
      <c r="F301" s="180">
        <f t="shared" si="35"/>
        <v>1.1904761904761862E-2</v>
      </c>
    </row>
    <row r="302" spans="2:12" ht="15.75" thickBot="1" x14ac:dyDescent="0.3">
      <c r="B302" s="65" t="s">
        <v>26</v>
      </c>
      <c r="C302" s="164">
        <f>C195+C172+C61+C38</f>
        <v>25706.816999999999</v>
      </c>
      <c r="D302" s="164">
        <f>D195+D172+D61+D38</f>
        <v>25706.816999999999</v>
      </c>
      <c r="E302" s="164">
        <f>E195+E172+E61+E38</f>
        <v>25706.816999999999</v>
      </c>
      <c r="F302" s="164">
        <f>F195+F172+F61+F38</f>
        <v>25706.816999999999</v>
      </c>
    </row>
    <row r="303" spans="2:12" ht="15.75" thickBot="1" x14ac:dyDescent="0.3">
      <c r="B303" s="181" t="s">
        <v>85</v>
      </c>
      <c r="C303" s="165"/>
      <c r="D303" s="182">
        <f>D302/C302-1</f>
        <v>0</v>
      </c>
      <c r="E303" s="182">
        <f t="shared" ref="E303:F303" si="36">E302/D302-1</f>
        <v>0</v>
      </c>
      <c r="F303" s="182">
        <f t="shared" si="36"/>
        <v>0</v>
      </c>
    </row>
    <row r="304" spans="2:12" ht="15.75" thickBot="1" x14ac:dyDescent="0.3">
      <c r="B304" s="65" t="s">
        <v>28</v>
      </c>
      <c r="C304" s="164">
        <f>C196+C173+C62+C39</f>
        <v>4293.183</v>
      </c>
      <c r="D304" s="164">
        <f>D196+D173+D62+D39</f>
        <v>4293.183</v>
      </c>
      <c r="E304" s="164">
        <f>E196+E173+E62+E39</f>
        <v>4293.183</v>
      </c>
      <c r="F304" s="164">
        <f>F196+F173+F62+F39</f>
        <v>4293.183</v>
      </c>
    </row>
    <row r="305" spans="2:6" ht="15.75" thickBot="1" x14ac:dyDescent="0.3">
      <c r="B305" s="181" t="s">
        <v>86</v>
      </c>
      <c r="C305" s="165"/>
      <c r="D305" s="182">
        <f>D304/C304-1</f>
        <v>0</v>
      </c>
      <c r="E305" s="182">
        <f t="shared" ref="E305:F305" si="37">E304/D304-1</f>
        <v>0</v>
      </c>
      <c r="F305" s="182">
        <f t="shared" si="37"/>
        <v>0</v>
      </c>
    </row>
    <row r="306" spans="2:6" ht="15.75" thickBot="1" x14ac:dyDescent="0.3">
      <c r="B306" s="65" t="s">
        <v>30</v>
      </c>
      <c r="C306" s="164">
        <f>C197+C174+C63+C40</f>
        <v>10060</v>
      </c>
      <c r="D306" s="164">
        <f>D197+D174+D63+D40</f>
        <v>10060</v>
      </c>
      <c r="E306" s="164">
        <f>E197+E174+E63+E40</f>
        <v>10760</v>
      </c>
      <c r="F306" s="164">
        <f>F197+F174+F63+F40</f>
        <v>11260</v>
      </c>
    </row>
    <row r="307" spans="2:6" ht="15.75" thickBot="1" x14ac:dyDescent="0.3">
      <c r="B307" s="181" t="s">
        <v>87</v>
      </c>
      <c r="C307" s="165"/>
      <c r="D307" s="182">
        <f>D306/C306-1</f>
        <v>0</v>
      </c>
      <c r="E307" s="182">
        <f t="shared" ref="E307:F307" si="38">E306/D306-1</f>
        <v>6.9582504970178816E-2</v>
      </c>
      <c r="F307" s="182">
        <f t="shared" si="38"/>
        <v>4.6468401486988942E-2</v>
      </c>
    </row>
    <row r="308" spans="2:6" ht="15.75" thickBot="1" x14ac:dyDescent="0.3">
      <c r="B308" s="65" t="s">
        <v>32</v>
      </c>
      <c r="C308" s="164">
        <f>C198+C175+C64+C41</f>
        <v>0</v>
      </c>
      <c r="D308" s="164">
        <f>D198+D175+D64+D41</f>
        <v>0</v>
      </c>
      <c r="E308" s="164">
        <f>E198+E175+E64+E41</f>
        <v>0</v>
      </c>
      <c r="F308" s="164">
        <f>F198+F175+F64+F41</f>
        <v>0</v>
      </c>
    </row>
    <row r="309" spans="2:6" ht="15.75" thickBot="1" x14ac:dyDescent="0.3">
      <c r="B309" s="181" t="s">
        <v>88</v>
      </c>
      <c r="C309" s="165"/>
      <c r="D309" s="182" t="e">
        <f>D308/C308-1</f>
        <v>#DIV/0!</v>
      </c>
      <c r="E309" s="182" t="e">
        <f t="shared" ref="E309:F309" si="39">E308/D308-1</f>
        <v>#DIV/0!</v>
      </c>
      <c r="F309" s="182" t="e">
        <f t="shared" si="39"/>
        <v>#DIV/0!</v>
      </c>
    </row>
    <row r="310" spans="2:6" ht="15.75" thickBot="1" x14ac:dyDescent="0.3">
      <c r="B310" s="65" t="s">
        <v>34</v>
      </c>
      <c r="C310" s="164">
        <f>C199+C176+C65+C42</f>
        <v>0</v>
      </c>
      <c r="D310" s="164">
        <f>D199+D176+D65+D42</f>
        <v>0</v>
      </c>
      <c r="E310" s="164">
        <f>E199+E176+E65+E42</f>
        <v>0</v>
      </c>
      <c r="F310" s="164">
        <f>F199+F176+F65+F42</f>
        <v>0</v>
      </c>
    </row>
    <row r="311" spans="2:6" ht="15.75" thickBot="1" x14ac:dyDescent="0.3">
      <c r="B311" s="181" t="s">
        <v>89</v>
      </c>
      <c r="C311" s="165"/>
      <c r="D311" s="182" t="e">
        <f>D310/C310-1</f>
        <v>#DIV/0!</v>
      </c>
      <c r="E311" s="182" t="e">
        <f t="shared" ref="E311:F311" si="40">E310/D310-1</f>
        <v>#DIV/0!</v>
      </c>
      <c r="F311" s="182" t="e">
        <f t="shared" si="40"/>
        <v>#DIV/0!</v>
      </c>
    </row>
    <row r="312" spans="2:6" ht="15.75" thickBot="1" x14ac:dyDescent="0.3">
      <c r="B312" s="65" t="s">
        <v>36</v>
      </c>
      <c r="C312" s="164">
        <f>C200+C177+C66+C43</f>
        <v>0</v>
      </c>
      <c r="D312" s="164">
        <f>D200+D177+D66+D43</f>
        <v>0</v>
      </c>
      <c r="E312" s="164">
        <f>E200+E177+E66+E43</f>
        <v>0</v>
      </c>
      <c r="F312" s="164">
        <f>F200+F177+F66+F43</f>
        <v>0</v>
      </c>
    </row>
    <row r="313" spans="2:6" ht="15.75" thickBot="1" x14ac:dyDescent="0.3">
      <c r="B313" s="181" t="s">
        <v>90</v>
      </c>
      <c r="C313" s="165"/>
      <c r="D313" s="182" t="e">
        <f>D312/C312-1</f>
        <v>#DIV/0!</v>
      </c>
      <c r="E313" s="182" t="e">
        <f t="shared" ref="E313:F313" si="41">E312/D312-1</f>
        <v>#DIV/0!</v>
      </c>
      <c r="F313" s="182" t="e">
        <f t="shared" si="41"/>
        <v>#DIV/0!</v>
      </c>
    </row>
    <row r="314" spans="2:6" ht="15.75" thickBot="1" x14ac:dyDescent="0.3">
      <c r="B314" s="65" t="s">
        <v>38</v>
      </c>
      <c r="C314" s="164">
        <f>C201+C178+C67+C44</f>
        <v>240</v>
      </c>
      <c r="D314" s="164">
        <f>D201+D178+D67+D44</f>
        <v>240</v>
      </c>
      <c r="E314" s="164">
        <f>E201+E178+E67+E44</f>
        <v>240</v>
      </c>
      <c r="F314" s="164">
        <f>F201+F178+F67+F44</f>
        <v>240</v>
      </c>
    </row>
    <row r="315" spans="2:6" ht="15.75" thickBot="1" x14ac:dyDescent="0.3">
      <c r="B315" s="181" t="s">
        <v>91</v>
      </c>
      <c r="C315" s="165"/>
      <c r="D315" s="182">
        <f>D314/C314-1</f>
        <v>0</v>
      </c>
      <c r="E315" s="182">
        <f t="shared" ref="E315:F315" si="42">E314/D314-1</f>
        <v>0</v>
      </c>
      <c r="F315" s="182">
        <f t="shared" si="42"/>
        <v>0</v>
      </c>
    </row>
    <row r="316" spans="2:6" ht="15.75" thickBot="1" x14ac:dyDescent="0.3">
      <c r="B316" s="65" t="s">
        <v>92</v>
      </c>
      <c r="C316" s="164">
        <f>C87+C108+C128+C146+C221+C239+C259+C277</f>
        <v>0</v>
      </c>
      <c r="D316" s="164">
        <f>D87+D108+D128+D146+D221+D239+D259+D277</f>
        <v>0</v>
      </c>
      <c r="E316" s="164">
        <f>E87+E108+E128+E146+E221+E239+E259+E277</f>
        <v>0</v>
      </c>
      <c r="F316" s="164">
        <f>F87+F108+F128+F146+F221+F239+F259+F277</f>
        <v>0</v>
      </c>
    </row>
    <row r="317" spans="2:6" ht="15.75" thickBot="1" x14ac:dyDescent="0.3">
      <c r="B317" s="181" t="s">
        <v>93</v>
      </c>
      <c r="C317" s="165"/>
      <c r="D317" s="182" t="e">
        <f>D316/C316-1</f>
        <v>#DIV/0!</v>
      </c>
      <c r="E317" s="182" t="e">
        <f t="shared" ref="E317:F317" si="43">E316/D316-1</f>
        <v>#DIV/0!</v>
      </c>
      <c r="F317" s="182" t="e">
        <f t="shared" si="43"/>
        <v>#DIV/0!</v>
      </c>
    </row>
    <row r="318" spans="2:6" ht="15.75" thickBot="1" x14ac:dyDescent="0.3">
      <c r="B318" s="65" t="s">
        <v>94</v>
      </c>
      <c r="C318" s="164">
        <f>C88+C109+C129+C147+C222+C240+C260+C278+C296</f>
        <v>1000</v>
      </c>
      <c r="D318" s="164">
        <f t="shared" ref="D318:F318" si="44">D88+D109+D129+D147+D222+D240+D260+D278+D296</f>
        <v>1000</v>
      </c>
      <c r="E318" s="164">
        <f t="shared" si="44"/>
        <v>1000</v>
      </c>
      <c r="F318" s="164">
        <f t="shared" si="44"/>
        <v>1000</v>
      </c>
    </row>
    <row r="319" spans="2:6" ht="15.75" thickBot="1" x14ac:dyDescent="0.3">
      <c r="B319" s="181" t="s">
        <v>95</v>
      </c>
      <c r="C319" s="165"/>
      <c r="D319" s="182">
        <f>D318/C318-1</f>
        <v>0</v>
      </c>
      <c r="E319" s="182">
        <f t="shared" ref="E319:F319" si="45">E318/D318-1</f>
        <v>0</v>
      </c>
      <c r="F319" s="182">
        <f t="shared" si="45"/>
        <v>0</v>
      </c>
    </row>
    <row r="320" spans="2:6" ht="15.75" thickBot="1" x14ac:dyDescent="0.3">
      <c r="B320" s="166" t="s">
        <v>41</v>
      </c>
      <c r="C320" s="167">
        <f>IF(C300-C299=0,0,"Error")</f>
        <v>0</v>
      </c>
      <c r="D320" s="167">
        <f t="shared" ref="D320:F320" si="46">IF(D300-D299=0,0,"Error")</f>
        <v>0</v>
      </c>
      <c r="E320" s="167">
        <f t="shared" si="46"/>
        <v>0</v>
      </c>
      <c r="F320" s="167">
        <f t="shared" si="46"/>
        <v>0</v>
      </c>
    </row>
    <row r="321" spans="2:6" ht="15.75" thickBot="1" x14ac:dyDescent="0.3">
      <c r="B321" s="183" t="s">
        <v>96</v>
      </c>
      <c r="C321" s="164">
        <v>25</v>
      </c>
      <c r="D321" s="164">
        <v>25</v>
      </c>
      <c r="E321" s="164">
        <v>25</v>
      </c>
      <c r="F321" s="164">
        <v>25</v>
      </c>
    </row>
    <row r="322" spans="2:6" ht="30.75" thickBot="1" x14ac:dyDescent="0.3">
      <c r="B322" s="183" t="s">
        <v>97</v>
      </c>
      <c r="C322" s="164" t="s">
        <v>23</v>
      </c>
      <c r="D322" s="164" t="s">
        <v>23</v>
      </c>
      <c r="E322" s="164" t="s">
        <v>23</v>
      </c>
      <c r="F322" s="164" t="s">
        <v>23</v>
      </c>
    </row>
    <row r="323" spans="2:6" x14ac:dyDescent="0.25">
      <c r="B323" s="184"/>
      <c r="C323" s="185"/>
      <c r="D323" s="185"/>
      <c r="E323" s="185"/>
      <c r="F323" s="185"/>
    </row>
  </sheetData>
  <mergeCells count="114">
    <mergeCell ref="B2:F2"/>
    <mergeCell ref="C4:F4"/>
    <mergeCell ref="C5:F5"/>
    <mergeCell ref="C6:F6"/>
    <mergeCell ref="B7:F7"/>
    <mergeCell ref="B23:F23"/>
    <mergeCell ref="C24:F24"/>
    <mergeCell ref="C25:F25"/>
    <mergeCell ref="C26:F26"/>
    <mergeCell ref="B27:B28"/>
    <mergeCell ref="B35:F35"/>
    <mergeCell ref="B8:F10"/>
    <mergeCell ref="C11:F11"/>
    <mergeCell ref="B12:B13"/>
    <mergeCell ref="C15:F15"/>
    <mergeCell ref="B16:F16"/>
    <mergeCell ref="B22:F22"/>
    <mergeCell ref="B59:B60"/>
    <mergeCell ref="B70:F70"/>
    <mergeCell ref="B71:F71"/>
    <mergeCell ref="C72:F72"/>
    <mergeCell ref="C73:F73"/>
    <mergeCell ref="C74:F74"/>
    <mergeCell ref="B36:B37"/>
    <mergeCell ref="C47:F47"/>
    <mergeCell ref="C48:F48"/>
    <mergeCell ref="C49:F49"/>
    <mergeCell ref="B51:B52"/>
    <mergeCell ref="B58:F58"/>
    <mergeCell ref="C93:F93"/>
    <mergeCell ref="C94:F94"/>
    <mergeCell ref="C95:F95"/>
    <mergeCell ref="C96:F96"/>
    <mergeCell ref="B97:B98"/>
    <mergeCell ref="B105:F105"/>
    <mergeCell ref="C75:F75"/>
    <mergeCell ref="B76:B77"/>
    <mergeCell ref="B84:F84"/>
    <mergeCell ref="B85:B86"/>
    <mergeCell ref="B90:B92"/>
    <mergeCell ref="C90:F92"/>
    <mergeCell ref="C116:F116"/>
    <mergeCell ref="B117:B118"/>
    <mergeCell ref="B125:F125"/>
    <mergeCell ref="B126:B127"/>
    <mergeCell ref="C131:F131"/>
    <mergeCell ref="C132:F132"/>
    <mergeCell ref="B106:B107"/>
    <mergeCell ref="B111:F111"/>
    <mergeCell ref="B112:F112"/>
    <mergeCell ref="C113:F113"/>
    <mergeCell ref="C114:F114"/>
    <mergeCell ref="C115:F115"/>
    <mergeCell ref="B150:F150"/>
    <mergeCell ref="B154:F154"/>
    <mergeCell ref="B155:F155"/>
    <mergeCell ref="B156:B157"/>
    <mergeCell ref="C158:F158"/>
    <mergeCell ref="C159:F159"/>
    <mergeCell ref="C133:F133"/>
    <mergeCell ref="C134:F134"/>
    <mergeCell ref="B135:B136"/>
    <mergeCell ref="B143:F143"/>
    <mergeCell ref="B144:B145"/>
    <mergeCell ref="C149:F149"/>
    <mergeCell ref="C183:F183"/>
    <mergeCell ref="B184:B185"/>
    <mergeCell ref="B192:F192"/>
    <mergeCell ref="B193:B194"/>
    <mergeCell ref="B204:F204"/>
    <mergeCell ref="B205:F205"/>
    <mergeCell ref="C160:F160"/>
    <mergeCell ref="B161:B162"/>
    <mergeCell ref="B169:F169"/>
    <mergeCell ref="B170:B171"/>
    <mergeCell ref="C181:F181"/>
    <mergeCell ref="C182:F182"/>
    <mergeCell ref="B219:B220"/>
    <mergeCell ref="C224:F224"/>
    <mergeCell ref="C225:F225"/>
    <mergeCell ref="C226:F226"/>
    <mergeCell ref="C227:F227"/>
    <mergeCell ref="B228:B229"/>
    <mergeCell ref="C206:F206"/>
    <mergeCell ref="C207:F207"/>
    <mergeCell ref="C208:F208"/>
    <mergeCell ref="C209:F209"/>
    <mergeCell ref="B210:B211"/>
    <mergeCell ref="B218:F218"/>
    <mergeCell ref="C246:F246"/>
    <mergeCell ref="C247:F247"/>
    <mergeCell ref="B248:B249"/>
    <mergeCell ref="B256:F256"/>
    <mergeCell ref="B257:B258"/>
    <mergeCell ref="C262:F262"/>
    <mergeCell ref="B236:F236"/>
    <mergeCell ref="B237:B238"/>
    <mergeCell ref="B242:F242"/>
    <mergeCell ref="B243:F243"/>
    <mergeCell ref="C244:F244"/>
    <mergeCell ref="C245:F245"/>
    <mergeCell ref="B293:B294"/>
    <mergeCell ref="C280:F280"/>
    <mergeCell ref="C281:F281"/>
    <mergeCell ref="C282:F282"/>
    <mergeCell ref="C283:F283"/>
    <mergeCell ref="B284:B285"/>
    <mergeCell ref="B292:F292"/>
    <mergeCell ref="C263:F263"/>
    <mergeCell ref="C264:F264"/>
    <mergeCell ref="C265:F265"/>
    <mergeCell ref="B266:B267"/>
    <mergeCell ref="B274:F274"/>
    <mergeCell ref="B275:B276"/>
  </mergeCells>
  <printOptions horizontalCentered="1" verticalCentered="1"/>
  <pageMargins left="0.7" right="0.7" top="0.75" bottom="0.75" header="0.3" footer="0.3"/>
  <pageSetup scale="57" orientation="portrait" r:id="rId1"/>
  <rowBreaks count="4" manualBreakCount="4">
    <brk id="69" max="16383" man="1"/>
    <brk id="124" max="16383" man="1"/>
    <brk id="191" max="16383" man="1"/>
    <brk id="26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40"/>
  <sheetViews>
    <sheetView topLeftCell="A95" zoomScaleNormal="100" workbookViewId="0">
      <selection activeCell="E91" sqref="E91"/>
    </sheetView>
  </sheetViews>
  <sheetFormatPr defaultRowHeight="15" x14ac:dyDescent="0.25"/>
  <cols>
    <col min="1" max="1" width="10.28515625" style="152" customWidth="1"/>
    <col min="2" max="2" width="59.28515625" style="152" customWidth="1"/>
    <col min="3" max="3" width="11.28515625" style="152" customWidth="1"/>
    <col min="4" max="4" width="13.7109375" style="152" customWidth="1"/>
    <col min="5" max="5" width="13.5703125" style="152" customWidth="1"/>
    <col min="6" max="6" width="23.5703125" style="152" customWidth="1"/>
    <col min="7" max="7" width="17.5703125" style="152" customWidth="1"/>
    <col min="8" max="8" width="22.5703125" style="152" customWidth="1"/>
    <col min="9" max="9" width="11" style="152" customWidth="1"/>
    <col min="10" max="10" width="12.85546875" style="152" customWidth="1"/>
    <col min="11" max="16384" width="9.140625" style="152"/>
  </cols>
  <sheetData>
    <row r="2" spans="2:7" ht="18" customHeight="1" x14ac:dyDescent="0.25">
      <c r="B2" s="762" t="s">
        <v>0</v>
      </c>
      <c r="C2" s="762"/>
      <c r="D2" s="762"/>
      <c r="E2" s="762"/>
      <c r="F2" s="762"/>
      <c r="G2" s="1"/>
    </row>
    <row r="3" spans="2:7" ht="15.75" thickBot="1" x14ac:dyDescent="0.3"/>
    <row r="4" spans="2:7" ht="15.75" thickBot="1" x14ac:dyDescent="0.3">
      <c r="B4" s="153" t="s">
        <v>2</v>
      </c>
      <c r="C4" s="979" t="s">
        <v>466</v>
      </c>
      <c r="D4" s="979"/>
      <c r="E4" s="979"/>
      <c r="F4" s="979"/>
    </row>
    <row r="5" spans="2:7" ht="15.75" thickBot="1" x14ac:dyDescent="0.3">
      <c r="B5" s="153" t="s">
        <v>3</v>
      </c>
      <c r="C5" s="1048" t="s">
        <v>4</v>
      </c>
      <c r="D5" s="981"/>
      <c r="E5" s="981"/>
      <c r="F5" s="982"/>
    </row>
    <row r="6" spans="2:7" ht="15.75" thickBot="1" x14ac:dyDescent="0.3">
      <c r="B6" s="153" t="s">
        <v>5</v>
      </c>
      <c r="C6" s="983" t="s">
        <v>6</v>
      </c>
      <c r="D6" s="984"/>
      <c r="E6" s="984"/>
      <c r="F6" s="985"/>
    </row>
    <row r="7" spans="2:7" ht="15.75" thickBot="1" x14ac:dyDescent="0.3">
      <c r="B7" s="986" t="s">
        <v>7</v>
      </c>
      <c r="C7" s="987"/>
      <c r="D7" s="987"/>
      <c r="E7" s="987"/>
      <c r="F7" s="988"/>
    </row>
    <row r="8" spans="2:7" ht="45.75" customHeight="1" x14ac:dyDescent="0.25">
      <c r="B8" s="1077" t="s">
        <v>814</v>
      </c>
      <c r="C8" s="1078"/>
      <c r="D8" s="1078"/>
      <c r="E8" s="1078"/>
      <c r="F8" s="1079"/>
    </row>
    <row r="9" spans="2:7" ht="10.5" customHeight="1" thickBot="1" x14ac:dyDescent="0.3">
      <c r="B9" s="1080"/>
      <c r="C9" s="1081"/>
      <c r="D9" s="1081"/>
      <c r="E9" s="1081"/>
      <c r="F9" s="1082"/>
    </row>
    <row r="10" spans="2:7" ht="15.75" hidden="1" thickBot="1" x14ac:dyDescent="0.3">
      <c r="B10" s="1083"/>
      <c r="C10" s="1084"/>
      <c r="D10" s="1084"/>
      <c r="E10" s="1084"/>
      <c r="F10" s="1085"/>
    </row>
    <row r="11" spans="2:7" ht="66" customHeight="1" thickBot="1" x14ac:dyDescent="0.3">
      <c r="B11" s="154" t="s">
        <v>8</v>
      </c>
      <c r="C11" s="1006" t="s">
        <v>467</v>
      </c>
      <c r="D11" s="993"/>
      <c r="E11" s="993"/>
      <c r="F11" s="994"/>
    </row>
    <row r="12" spans="2:7" ht="23.25" customHeight="1" x14ac:dyDescent="0.25">
      <c r="B12" s="998" t="s">
        <v>9</v>
      </c>
      <c r="C12" s="155">
        <v>2018</v>
      </c>
      <c r="D12" s="155">
        <v>2019</v>
      </c>
      <c r="E12" s="155">
        <v>2020</v>
      </c>
      <c r="F12" s="155">
        <v>2021</v>
      </c>
    </row>
    <row r="13" spans="2:7" ht="15.75" thickBot="1" x14ac:dyDescent="0.3">
      <c r="B13" s="999"/>
      <c r="C13" s="156" t="s">
        <v>10</v>
      </c>
      <c r="D13" s="156" t="s">
        <v>11</v>
      </c>
      <c r="E13" s="156" t="s">
        <v>11</v>
      </c>
      <c r="F13" s="156" t="s">
        <v>11</v>
      </c>
    </row>
    <row r="14" spans="2:7" ht="63" customHeight="1" thickBot="1" x14ac:dyDescent="0.3">
      <c r="B14" s="146" t="s">
        <v>468</v>
      </c>
      <c r="C14" s="157">
        <v>0.66</v>
      </c>
      <c r="D14" s="157" t="s">
        <v>146</v>
      </c>
      <c r="E14" s="157" t="s">
        <v>469</v>
      </c>
      <c r="F14" s="157" t="s">
        <v>146</v>
      </c>
    </row>
    <row r="15" spans="2:7" ht="43.5" customHeight="1" thickBot="1" x14ac:dyDescent="0.3">
      <c r="B15" s="62" t="s">
        <v>815</v>
      </c>
      <c r="C15" s="250">
        <v>1</v>
      </c>
      <c r="D15" s="250">
        <v>2</v>
      </c>
      <c r="E15" s="250">
        <v>2</v>
      </c>
      <c r="F15" s="250">
        <v>2</v>
      </c>
    </row>
    <row r="16" spans="2:7" ht="63" customHeight="1" thickBot="1" x14ac:dyDescent="0.3">
      <c r="B16" s="251" t="s">
        <v>12</v>
      </c>
      <c r="C16" s="1319" t="s">
        <v>470</v>
      </c>
      <c r="D16" s="1316"/>
      <c r="E16" s="1316"/>
      <c r="F16" s="1320"/>
    </row>
    <row r="17" spans="2:12" ht="23.25" customHeight="1" thickBot="1" x14ac:dyDescent="0.3">
      <c r="B17" s="1045" t="s">
        <v>13</v>
      </c>
      <c r="C17" s="1046"/>
      <c r="D17" s="1046"/>
      <c r="E17" s="1046"/>
      <c r="F17" s="1047"/>
      <c r="I17" s="159"/>
      <c r="K17" s="159"/>
    </row>
    <row r="18" spans="2:12" ht="15.75" thickBot="1" x14ac:dyDescent="0.3">
      <c r="B18" s="238" t="s">
        <v>471</v>
      </c>
      <c r="C18" s="252">
        <v>16</v>
      </c>
      <c r="D18" s="239" t="s">
        <v>146</v>
      </c>
      <c r="E18" s="239" t="s">
        <v>469</v>
      </c>
      <c r="F18" s="239" t="s">
        <v>146</v>
      </c>
    </row>
    <row r="19" spans="2:12" ht="15.75" thickBot="1" x14ac:dyDescent="0.3">
      <c r="B19" s="989" t="s">
        <v>14</v>
      </c>
      <c r="C19" s="990"/>
      <c r="D19" s="990"/>
      <c r="E19" s="990"/>
      <c r="F19" s="991"/>
    </row>
    <row r="20" spans="2:12" ht="15.75" thickBot="1" x14ac:dyDescent="0.3">
      <c r="B20" s="989" t="s">
        <v>104</v>
      </c>
      <c r="C20" s="990"/>
      <c r="D20" s="990"/>
      <c r="E20" s="990"/>
      <c r="F20" s="991"/>
    </row>
    <row r="21" spans="2:12" ht="15.75" thickBot="1" x14ac:dyDescent="0.3">
      <c r="B21" s="160" t="s">
        <v>105</v>
      </c>
      <c r="C21" s="992" t="s">
        <v>472</v>
      </c>
      <c r="D21" s="993"/>
      <c r="E21" s="993"/>
      <c r="F21" s="994"/>
    </row>
    <row r="22" spans="2:12" ht="45" customHeight="1" thickBot="1" x14ac:dyDescent="0.3">
      <c r="B22" s="62" t="s">
        <v>17</v>
      </c>
      <c r="C22" s="983" t="s">
        <v>473</v>
      </c>
      <c r="D22" s="984"/>
      <c r="E22" s="984"/>
      <c r="F22" s="985"/>
    </row>
    <row r="23" spans="2:12" ht="15.75" thickBot="1" x14ac:dyDescent="0.3">
      <c r="B23" s="62" t="s">
        <v>18</v>
      </c>
      <c r="C23" s="995" t="s">
        <v>151</v>
      </c>
      <c r="D23" s="996"/>
      <c r="E23" s="996"/>
      <c r="F23" s="997"/>
    </row>
    <row r="24" spans="2:12" ht="12.75" customHeight="1" x14ac:dyDescent="0.25">
      <c r="B24" s="998"/>
      <c r="C24" s="63">
        <v>2018</v>
      </c>
      <c r="D24" s="63">
        <v>2019</v>
      </c>
      <c r="E24" s="63">
        <v>2020</v>
      </c>
      <c r="F24" s="63">
        <v>2021</v>
      </c>
    </row>
    <row r="25" spans="2:12" ht="13.5" customHeight="1" thickBot="1" x14ac:dyDescent="0.3">
      <c r="B25" s="999"/>
      <c r="C25" s="64" t="s">
        <v>10</v>
      </c>
      <c r="D25" s="64" t="s">
        <v>11</v>
      </c>
      <c r="E25" s="64" t="s">
        <v>11</v>
      </c>
      <c r="F25" s="64" t="s">
        <v>11</v>
      </c>
    </row>
    <row r="26" spans="2:12" ht="15.75" thickBot="1" x14ac:dyDescent="0.3">
      <c r="B26" s="62" t="s">
        <v>19</v>
      </c>
      <c r="C26" s="161">
        <v>7500</v>
      </c>
      <c r="D26" s="161">
        <v>7700</v>
      </c>
      <c r="E26" s="161">
        <v>8000</v>
      </c>
      <c r="F26" s="161">
        <v>8500</v>
      </c>
    </row>
    <row r="27" spans="2:12" ht="15.75" thickBot="1" x14ac:dyDescent="0.3">
      <c r="B27" s="62" t="s">
        <v>20</v>
      </c>
      <c r="C27" s="161">
        <v>32700</v>
      </c>
      <c r="D27" s="161">
        <v>33000</v>
      </c>
      <c r="E27" s="161">
        <v>33500</v>
      </c>
      <c r="F27" s="161">
        <v>34000</v>
      </c>
    </row>
    <row r="28" spans="2:12" ht="15.75" thickBot="1" x14ac:dyDescent="0.3">
      <c r="B28" s="62" t="s">
        <v>21</v>
      </c>
      <c r="C28" s="253">
        <f>C27/C26</f>
        <v>4.3600000000000003</v>
      </c>
      <c r="D28" s="253">
        <f t="shared" ref="D28:F28" si="0">D27/D26</f>
        <v>4.2857142857142856</v>
      </c>
      <c r="E28" s="253">
        <f t="shared" si="0"/>
        <v>4.1875</v>
      </c>
      <c r="F28" s="253">
        <f t="shared" si="0"/>
        <v>4</v>
      </c>
    </row>
    <row r="29" spans="2:12" ht="15.75" thickBot="1" x14ac:dyDescent="0.3">
      <c r="B29" s="62" t="s">
        <v>22</v>
      </c>
      <c r="C29" s="145" t="s">
        <v>23</v>
      </c>
      <c r="D29" s="162">
        <f>D26/C26-1</f>
        <v>2.6666666666666616E-2</v>
      </c>
      <c r="E29" s="162">
        <f t="shared" ref="E29:F31" si="1">E26/D26-1</f>
        <v>3.8961038961038863E-2</v>
      </c>
      <c r="F29" s="162">
        <f t="shared" si="1"/>
        <v>6.25E-2</v>
      </c>
      <c r="H29" s="163"/>
      <c r="I29" s="163"/>
      <c r="J29" s="163"/>
      <c r="K29" s="163"/>
      <c r="L29" s="163"/>
    </row>
    <row r="30" spans="2:12" ht="15.75" thickBot="1" x14ac:dyDescent="0.3">
      <c r="B30" s="62" t="s">
        <v>24</v>
      </c>
      <c r="C30" s="145" t="s">
        <v>23</v>
      </c>
      <c r="D30" s="162">
        <f>D27/C27-1</f>
        <v>9.1743119266054496E-3</v>
      </c>
      <c r="E30" s="162">
        <f t="shared" si="1"/>
        <v>1.5151515151515138E-2</v>
      </c>
      <c r="F30" s="162">
        <f t="shared" si="1"/>
        <v>1.4925373134328401E-2</v>
      </c>
    </row>
    <row r="31" spans="2:12" ht="15.75" thickBot="1" x14ac:dyDescent="0.3">
      <c r="B31" s="62" t="s">
        <v>25</v>
      </c>
      <c r="C31" s="145" t="s">
        <v>23</v>
      </c>
      <c r="D31" s="162">
        <f>D28/C28-1</f>
        <v>-1.7038007863696025E-2</v>
      </c>
      <c r="E31" s="162">
        <f t="shared" si="1"/>
        <v>-2.2916666666666585E-2</v>
      </c>
      <c r="F31" s="162">
        <f t="shared" si="1"/>
        <v>-4.4776119402985093E-2</v>
      </c>
    </row>
    <row r="32" spans="2:12" ht="15.75" thickBot="1" x14ac:dyDescent="0.3">
      <c r="B32" s="1000" t="s">
        <v>784</v>
      </c>
      <c r="C32" s="1001"/>
      <c r="D32" s="1001"/>
      <c r="E32" s="1001"/>
      <c r="F32" s="1002"/>
    </row>
    <row r="33" spans="2:6" ht="12.75" customHeight="1" x14ac:dyDescent="0.25">
      <c r="B33" s="998"/>
      <c r="C33" s="63">
        <v>2018</v>
      </c>
      <c r="D33" s="63">
        <v>2019</v>
      </c>
      <c r="E33" s="63">
        <v>2020</v>
      </c>
      <c r="F33" s="63">
        <v>2021</v>
      </c>
    </row>
    <row r="34" spans="2:6" ht="15.75" customHeight="1" thickBot="1" x14ac:dyDescent="0.3">
      <c r="B34" s="999"/>
      <c r="C34" s="64" t="s">
        <v>10</v>
      </c>
      <c r="D34" s="64" t="s">
        <v>11</v>
      </c>
      <c r="E34" s="64" t="s">
        <v>11</v>
      </c>
      <c r="F34" s="64" t="s">
        <v>11</v>
      </c>
    </row>
    <row r="35" spans="2:6" ht="15.75" thickBot="1" x14ac:dyDescent="0.3">
      <c r="B35" s="65" t="s">
        <v>26</v>
      </c>
      <c r="C35" s="164">
        <v>18330</v>
      </c>
      <c r="D35" s="164">
        <v>18330</v>
      </c>
      <c r="E35" s="164">
        <v>18330</v>
      </c>
      <c r="F35" s="164">
        <v>18330</v>
      </c>
    </row>
    <row r="36" spans="2:6" ht="16.5" customHeight="1" thickBot="1" x14ac:dyDescent="0.3">
      <c r="B36" s="65" t="s">
        <v>28</v>
      </c>
      <c r="C36" s="164">
        <v>2970</v>
      </c>
      <c r="D36" s="164">
        <v>2970</v>
      </c>
      <c r="E36" s="164">
        <v>2970</v>
      </c>
      <c r="F36" s="164">
        <v>2970</v>
      </c>
    </row>
    <row r="37" spans="2:6" ht="15.75" thickBot="1" x14ac:dyDescent="0.3">
      <c r="B37" s="65" t="s">
        <v>30</v>
      </c>
      <c r="C37" s="164">
        <v>11400</v>
      </c>
      <c r="D37" s="164">
        <v>11700</v>
      </c>
      <c r="E37" s="164">
        <v>12200</v>
      </c>
      <c r="F37" s="164">
        <v>12700</v>
      </c>
    </row>
    <row r="38" spans="2:6" ht="15.75" thickBot="1" x14ac:dyDescent="0.3">
      <c r="B38" s="65" t="s">
        <v>32</v>
      </c>
      <c r="C38" s="165">
        <v>0</v>
      </c>
      <c r="D38" s="165">
        <v>0</v>
      </c>
      <c r="E38" s="165">
        <v>0</v>
      </c>
      <c r="F38" s="165">
        <v>0</v>
      </c>
    </row>
    <row r="39" spans="2:6" ht="15.75" thickBot="1" x14ac:dyDescent="0.3">
      <c r="B39" s="65" t="s">
        <v>34</v>
      </c>
      <c r="C39" s="165">
        <v>0</v>
      </c>
      <c r="D39" s="165">
        <v>0</v>
      </c>
      <c r="E39" s="165">
        <v>0</v>
      </c>
      <c r="F39" s="165">
        <v>0</v>
      </c>
    </row>
    <row r="40" spans="2:6" ht="15.75" thickBot="1" x14ac:dyDescent="0.3">
      <c r="B40" s="65" t="s">
        <v>36</v>
      </c>
      <c r="C40" s="165">
        <v>0</v>
      </c>
      <c r="D40" s="165">
        <v>0</v>
      </c>
      <c r="E40" s="165">
        <v>0</v>
      </c>
      <c r="F40" s="165">
        <v>0</v>
      </c>
    </row>
    <row r="41" spans="2:6" ht="15.75" thickBot="1" x14ac:dyDescent="0.3">
      <c r="B41" s="65" t="s">
        <v>38</v>
      </c>
      <c r="C41" s="165">
        <v>0</v>
      </c>
      <c r="D41" s="165">
        <v>0</v>
      </c>
      <c r="E41" s="165">
        <v>0</v>
      </c>
      <c r="F41" s="165">
        <v>0</v>
      </c>
    </row>
    <row r="42" spans="2:6" ht="15.75" thickBot="1" x14ac:dyDescent="0.3">
      <c r="B42" s="66" t="s">
        <v>40</v>
      </c>
      <c r="C42" s="219">
        <f>C41+C40+C39+C38+C37+C36+C35</f>
        <v>32700</v>
      </c>
      <c r="D42" s="219">
        <f>D41+D40+D39+D38+D37+D36+D35</f>
        <v>33000</v>
      </c>
      <c r="E42" s="219">
        <f>E41+E40+E39+E38+E37+E36+E35</f>
        <v>33500</v>
      </c>
      <c r="F42" s="219">
        <f>F41+F40+F39+F38+F37+F36+F35</f>
        <v>34000</v>
      </c>
    </row>
    <row r="43" spans="2:6" ht="15.75" thickBot="1" x14ac:dyDescent="0.3">
      <c r="B43" s="166" t="s">
        <v>41</v>
      </c>
      <c r="C43" s="167">
        <f>IF(C42-C27=0,0,"Error")</f>
        <v>0</v>
      </c>
      <c r="D43" s="167">
        <f>IF(D42-D27=0,0,"Error")</f>
        <v>0</v>
      </c>
      <c r="E43" s="167">
        <f>IF(E42-E27=0,0,"Error")</f>
        <v>0</v>
      </c>
      <c r="F43" s="167">
        <f>IF(F42-F27=0,0,"Error")</f>
        <v>0</v>
      </c>
    </row>
    <row r="44" spans="2:6" ht="15.75" thickBot="1" x14ac:dyDescent="0.3">
      <c r="B44" s="989" t="s">
        <v>55</v>
      </c>
      <c r="C44" s="990"/>
      <c r="D44" s="990"/>
      <c r="E44" s="990"/>
      <c r="F44" s="991"/>
    </row>
    <row r="45" spans="2:6" ht="15.75" thickBot="1" x14ac:dyDescent="0.3">
      <c r="B45" s="989" t="s">
        <v>56</v>
      </c>
      <c r="C45" s="990"/>
      <c r="D45" s="990"/>
      <c r="E45" s="990"/>
      <c r="F45" s="991"/>
    </row>
    <row r="46" spans="2:6" ht="15.75" thickBot="1" x14ac:dyDescent="0.3">
      <c r="B46" s="67" t="s">
        <v>474</v>
      </c>
      <c r="C46" s="1009" t="s">
        <v>475</v>
      </c>
      <c r="D46" s="1010"/>
      <c r="E46" s="1010"/>
      <c r="F46" s="1011"/>
    </row>
    <row r="47" spans="2:6" ht="15.75" thickBot="1" x14ac:dyDescent="0.3">
      <c r="B47" s="160" t="s">
        <v>16</v>
      </c>
      <c r="C47" s="992" t="s">
        <v>131</v>
      </c>
      <c r="D47" s="993"/>
      <c r="E47" s="993"/>
      <c r="F47" s="994"/>
    </row>
    <row r="48" spans="2:6" ht="27.75" customHeight="1" thickBot="1" x14ac:dyDescent="0.3">
      <c r="B48" s="62" t="s">
        <v>17</v>
      </c>
      <c r="C48" s="983" t="s">
        <v>476</v>
      </c>
      <c r="D48" s="984"/>
      <c r="E48" s="984"/>
      <c r="F48" s="985"/>
    </row>
    <row r="49" spans="2:12" ht="15.75" thickBot="1" x14ac:dyDescent="0.3">
      <c r="B49" s="62" t="s">
        <v>18</v>
      </c>
      <c r="C49" s="995" t="s">
        <v>73</v>
      </c>
      <c r="D49" s="996"/>
      <c r="E49" s="996"/>
      <c r="F49" s="997"/>
    </row>
    <row r="50" spans="2:12" ht="12.75" customHeight="1" x14ac:dyDescent="0.25">
      <c r="B50" s="998"/>
      <c r="C50" s="63">
        <v>2018</v>
      </c>
      <c r="D50" s="63">
        <v>2019</v>
      </c>
      <c r="E50" s="63">
        <v>2020</v>
      </c>
      <c r="F50" s="63">
        <v>2021</v>
      </c>
    </row>
    <row r="51" spans="2:12" ht="31.5" customHeight="1" thickBot="1" x14ac:dyDescent="0.3">
      <c r="B51" s="999"/>
      <c r="C51" s="64" t="s">
        <v>10</v>
      </c>
      <c r="D51" s="64" t="s">
        <v>11</v>
      </c>
      <c r="E51" s="64" t="s">
        <v>11</v>
      </c>
      <c r="F51" s="64" t="s">
        <v>11</v>
      </c>
    </row>
    <row r="52" spans="2:12" ht="15.75" thickBot="1" x14ac:dyDescent="0.3">
      <c r="B52" s="62" t="s">
        <v>19</v>
      </c>
      <c r="C52" s="161">
        <v>7</v>
      </c>
      <c r="D52" s="161">
        <v>7</v>
      </c>
      <c r="E52" s="161">
        <v>7</v>
      </c>
      <c r="F52" s="161">
        <v>7</v>
      </c>
    </row>
    <row r="53" spans="2:12" ht="15.75" thickBot="1" x14ac:dyDescent="0.3">
      <c r="B53" s="62" t="s">
        <v>20</v>
      </c>
      <c r="C53" s="161">
        <v>400</v>
      </c>
      <c r="D53" s="161">
        <v>400</v>
      </c>
      <c r="E53" s="161">
        <v>400</v>
      </c>
      <c r="F53" s="161">
        <v>400</v>
      </c>
    </row>
    <row r="54" spans="2:12" ht="15.75" thickBot="1" x14ac:dyDescent="0.3">
      <c r="B54" s="62" t="s">
        <v>21</v>
      </c>
      <c r="C54" s="161">
        <v>57.142857142857146</v>
      </c>
      <c r="D54" s="161">
        <v>57.142857142857146</v>
      </c>
      <c r="E54" s="161">
        <v>57.142857142857146</v>
      </c>
      <c r="F54" s="161">
        <v>57.142857142857146</v>
      </c>
    </row>
    <row r="55" spans="2:12" ht="15.75" thickBot="1" x14ac:dyDescent="0.3">
      <c r="B55" s="62" t="s">
        <v>22</v>
      </c>
      <c r="C55" s="145" t="s">
        <v>23</v>
      </c>
      <c r="D55" s="162">
        <v>0</v>
      </c>
      <c r="E55" s="162">
        <v>0</v>
      </c>
      <c r="F55" s="162">
        <v>0</v>
      </c>
      <c r="H55" s="163"/>
      <c r="I55" s="163"/>
      <c r="J55" s="163"/>
      <c r="K55" s="163"/>
      <c r="L55" s="163"/>
    </row>
    <row r="56" spans="2:12" ht="15.75" thickBot="1" x14ac:dyDescent="0.3">
      <c r="B56" s="62" t="s">
        <v>24</v>
      </c>
      <c r="C56" s="145" t="s">
        <v>23</v>
      </c>
      <c r="D56" s="162">
        <v>0</v>
      </c>
      <c r="E56" s="162">
        <v>0</v>
      </c>
      <c r="F56" s="162">
        <v>0</v>
      </c>
    </row>
    <row r="57" spans="2:12" ht="15.75" thickBot="1" x14ac:dyDescent="0.3">
      <c r="B57" s="62" t="s">
        <v>25</v>
      </c>
      <c r="C57" s="145" t="s">
        <v>23</v>
      </c>
      <c r="D57" s="162">
        <v>0</v>
      </c>
      <c r="E57" s="162">
        <v>0</v>
      </c>
      <c r="F57" s="162">
        <v>0</v>
      </c>
    </row>
    <row r="58" spans="2:12" ht="15.75" customHeight="1" thickBot="1" x14ac:dyDescent="0.3">
      <c r="B58" s="1000" t="s">
        <v>784</v>
      </c>
      <c r="C58" s="1001"/>
      <c r="D58" s="1001"/>
      <c r="E58" s="1001"/>
      <c r="F58" s="1002"/>
    </row>
    <row r="59" spans="2:12" ht="12.75" customHeight="1" x14ac:dyDescent="0.25">
      <c r="B59" s="998"/>
      <c r="C59" s="63">
        <v>2018</v>
      </c>
      <c r="D59" s="63">
        <v>2019</v>
      </c>
      <c r="E59" s="63">
        <v>2020</v>
      </c>
      <c r="F59" s="63">
        <v>2021</v>
      </c>
    </row>
    <row r="60" spans="2:12" ht="12" customHeight="1" thickBot="1" x14ac:dyDescent="0.3">
      <c r="B60" s="999"/>
      <c r="C60" s="64" t="s">
        <v>10</v>
      </c>
      <c r="D60" s="64" t="s">
        <v>11</v>
      </c>
      <c r="E60" s="64" t="s">
        <v>11</v>
      </c>
      <c r="F60" s="64" t="s">
        <v>11</v>
      </c>
    </row>
    <row r="61" spans="2:12" ht="15.75" thickBot="1" x14ac:dyDescent="0.3">
      <c r="B61" s="65" t="s">
        <v>58</v>
      </c>
      <c r="C61" s="164"/>
      <c r="D61" s="164"/>
      <c r="E61" s="164"/>
      <c r="F61" s="164"/>
    </row>
    <row r="62" spans="2:12" ht="15.75" thickBot="1" x14ac:dyDescent="0.3">
      <c r="B62" s="65" t="s">
        <v>59</v>
      </c>
      <c r="C62" s="164">
        <v>400</v>
      </c>
      <c r="D62" s="164">
        <v>400</v>
      </c>
      <c r="E62" s="164">
        <v>400</v>
      </c>
      <c r="F62" s="164">
        <v>400</v>
      </c>
    </row>
    <row r="63" spans="2:12" ht="24.75" customHeight="1" thickBot="1" x14ac:dyDescent="0.3">
      <c r="B63" s="66" t="s">
        <v>40</v>
      </c>
      <c r="C63" s="219">
        <v>400</v>
      </c>
      <c r="D63" s="219">
        <v>400</v>
      </c>
      <c r="E63" s="219">
        <v>400</v>
      </c>
      <c r="F63" s="219">
        <v>400</v>
      </c>
    </row>
    <row r="64" spans="2:12" ht="15" customHeight="1" x14ac:dyDescent="0.25">
      <c r="B64" s="1015" t="s">
        <v>60</v>
      </c>
      <c r="C64" s="1036" t="s">
        <v>107</v>
      </c>
      <c r="D64" s="1037"/>
      <c r="E64" s="1037"/>
      <c r="F64" s="1038"/>
    </row>
    <row r="65" spans="2:12" x14ac:dyDescent="0.25">
      <c r="B65" s="1016"/>
      <c r="C65" s="1039"/>
      <c r="D65" s="1040"/>
      <c r="E65" s="1040"/>
      <c r="F65" s="1041"/>
    </row>
    <row r="66" spans="2:12" ht="15.75" thickBot="1" x14ac:dyDescent="0.3">
      <c r="B66" s="1017"/>
      <c r="C66" s="1042"/>
      <c r="D66" s="1043"/>
      <c r="E66" s="1043"/>
      <c r="F66" s="1044"/>
    </row>
    <row r="67" spans="2:12" ht="15.75" thickBot="1" x14ac:dyDescent="0.3">
      <c r="B67" s="67" t="s">
        <v>477</v>
      </c>
      <c r="C67" s="1009" t="s">
        <v>478</v>
      </c>
      <c r="D67" s="1010"/>
      <c r="E67" s="1010"/>
      <c r="F67" s="1011"/>
    </row>
    <row r="68" spans="2:12" ht="15.75" thickBot="1" x14ac:dyDescent="0.3">
      <c r="B68" s="160" t="s">
        <v>42</v>
      </c>
      <c r="C68" s="992" t="s">
        <v>479</v>
      </c>
      <c r="D68" s="993"/>
      <c r="E68" s="993"/>
      <c r="F68" s="994"/>
    </row>
    <row r="69" spans="2:12" ht="42.75" customHeight="1" thickBot="1" x14ac:dyDescent="0.3">
      <c r="B69" s="62" t="s">
        <v>17</v>
      </c>
      <c r="C69" s="983" t="s">
        <v>480</v>
      </c>
      <c r="D69" s="984"/>
      <c r="E69" s="984"/>
      <c r="F69" s="985"/>
    </row>
    <row r="70" spans="2:12" ht="15.75" thickBot="1" x14ac:dyDescent="0.3">
      <c r="B70" s="62" t="s">
        <v>18</v>
      </c>
      <c r="C70" s="995" t="s">
        <v>73</v>
      </c>
      <c r="D70" s="996"/>
      <c r="E70" s="996"/>
      <c r="F70" s="997"/>
    </row>
    <row r="71" spans="2:12" ht="12.75" customHeight="1" x14ac:dyDescent="0.25">
      <c r="B71" s="998"/>
      <c r="C71" s="63">
        <v>2018</v>
      </c>
      <c r="D71" s="63">
        <v>2019</v>
      </c>
      <c r="E71" s="63">
        <v>2020</v>
      </c>
      <c r="F71" s="63">
        <v>2021</v>
      </c>
    </row>
    <row r="72" spans="2:12" ht="18.75" customHeight="1" thickBot="1" x14ac:dyDescent="0.3">
      <c r="B72" s="999"/>
      <c r="C72" s="64" t="s">
        <v>10</v>
      </c>
      <c r="D72" s="64" t="s">
        <v>11</v>
      </c>
      <c r="E72" s="64" t="s">
        <v>11</v>
      </c>
      <c r="F72" s="64" t="s">
        <v>11</v>
      </c>
    </row>
    <row r="73" spans="2:12" ht="15.75" thickBot="1" x14ac:dyDescent="0.3">
      <c r="B73" s="62" t="s">
        <v>19</v>
      </c>
      <c r="C73" s="161">
        <v>10</v>
      </c>
      <c r="D73" s="161">
        <v>10</v>
      </c>
      <c r="E73" s="161">
        <v>10</v>
      </c>
      <c r="F73" s="161">
        <v>10</v>
      </c>
    </row>
    <row r="74" spans="2:12" ht="15.75" thickBot="1" x14ac:dyDescent="0.3">
      <c r="B74" s="62" t="s">
        <v>20</v>
      </c>
      <c r="C74" s="161">
        <v>600</v>
      </c>
      <c r="D74" s="161">
        <v>600</v>
      </c>
      <c r="E74" s="161">
        <v>600</v>
      </c>
      <c r="F74" s="161">
        <v>600</v>
      </c>
    </row>
    <row r="75" spans="2:12" ht="15.75" thickBot="1" x14ac:dyDescent="0.3">
      <c r="B75" s="62" t="s">
        <v>21</v>
      </c>
      <c r="C75" s="161">
        <v>60</v>
      </c>
      <c r="D75" s="161">
        <v>60</v>
      </c>
      <c r="E75" s="161">
        <v>60</v>
      </c>
      <c r="F75" s="161">
        <v>60</v>
      </c>
    </row>
    <row r="76" spans="2:12" ht="15.75" thickBot="1" x14ac:dyDescent="0.3">
      <c r="B76" s="62" t="s">
        <v>22</v>
      </c>
      <c r="C76" s="145" t="s">
        <v>23</v>
      </c>
      <c r="D76" s="162">
        <v>0</v>
      </c>
      <c r="E76" s="162">
        <v>0</v>
      </c>
      <c r="F76" s="162">
        <v>0</v>
      </c>
      <c r="H76" s="163"/>
      <c r="I76" s="163"/>
      <c r="J76" s="163"/>
      <c r="K76" s="163"/>
      <c r="L76" s="163"/>
    </row>
    <row r="77" spans="2:12" ht="15.75" thickBot="1" x14ac:dyDescent="0.3">
      <c r="B77" s="62" t="s">
        <v>24</v>
      </c>
      <c r="C77" s="145" t="s">
        <v>23</v>
      </c>
      <c r="D77" s="162">
        <v>0</v>
      </c>
      <c r="E77" s="162">
        <v>0</v>
      </c>
      <c r="F77" s="162">
        <v>0</v>
      </c>
    </row>
    <row r="78" spans="2:12" ht="15.75" thickBot="1" x14ac:dyDescent="0.3">
      <c r="B78" s="62" t="s">
        <v>25</v>
      </c>
      <c r="C78" s="145" t="s">
        <v>23</v>
      </c>
      <c r="D78" s="162">
        <v>0</v>
      </c>
      <c r="E78" s="162">
        <v>0</v>
      </c>
      <c r="F78" s="162">
        <v>0</v>
      </c>
    </row>
    <row r="79" spans="2:12" ht="15.75" customHeight="1" thickBot="1" x14ac:dyDescent="0.3">
      <c r="B79" s="1000" t="s">
        <v>786</v>
      </c>
      <c r="C79" s="1001"/>
      <c r="D79" s="1001"/>
      <c r="E79" s="1001"/>
      <c r="F79" s="1002"/>
    </row>
    <row r="80" spans="2:12" ht="12.75" customHeight="1" x14ac:dyDescent="0.25">
      <c r="B80" s="998"/>
      <c r="C80" s="63">
        <v>2018</v>
      </c>
      <c r="D80" s="63">
        <v>2019</v>
      </c>
      <c r="E80" s="63">
        <v>2020</v>
      </c>
      <c r="F80" s="63">
        <v>2021</v>
      </c>
    </row>
    <row r="81" spans="2:6" ht="12.75" customHeight="1" thickBot="1" x14ac:dyDescent="0.3">
      <c r="B81" s="999"/>
      <c r="C81" s="64" t="s">
        <v>10</v>
      </c>
      <c r="D81" s="64" t="s">
        <v>11</v>
      </c>
      <c r="E81" s="64" t="s">
        <v>11</v>
      </c>
      <c r="F81" s="64" t="s">
        <v>11</v>
      </c>
    </row>
    <row r="82" spans="2:6" ht="15.75" thickBot="1" x14ac:dyDescent="0.3">
      <c r="B82" s="65" t="s">
        <v>58</v>
      </c>
      <c r="C82" s="164"/>
      <c r="D82" s="164"/>
      <c r="E82" s="164"/>
      <c r="F82" s="164"/>
    </row>
    <row r="83" spans="2:6" ht="15.75" thickBot="1" x14ac:dyDescent="0.3">
      <c r="B83" s="65" t="s">
        <v>59</v>
      </c>
      <c r="C83" s="165">
        <v>600</v>
      </c>
      <c r="D83" s="164">
        <v>600</v>
      </c>
      <c r="E83" s="164">
        <v>600</v>
      </c>
      <c r="F83" s="164">
        <v>600</v>
      </c>
    </row>
    <row r="84" spans="2:6" ht="15.75" thickBot="1" x14ac:dyDescent="0.3">
      <c r="B84" s="66" t="s">
        <v>43</v>
      </c>
      <c r="C84" s="219">
        <v>600</v>
      </c>
      <c r="D84" s="219">
        <v>600</v>
      </c>
      <c r="E84" s="219">
        <v>600</v>
      </c>
      <c r="F84" s="219">
        <v>600</v>
      </c>
    </row>
    <row r="85" spans="2:6" x14ac:dyDescent="0.25">
      <c r="B85" s="1015" t="s">
        <v>62</v>
      </c>
      <c r="C85" s="1036" t="s">
        <v>479</v>
      </c>
      <c r="D85" s="1037"/>
      <c r="E85" s="1037"/>
      <c r="F85" s="1038"/>
    </row>
    <row r="86" spans="2:6" x14ac:dyDescent="0.25">
      <c r="B86" s="1016"/>
      <c r="C86" s="1039"/>
      <c r="D86" s="1040"/>
      <c r="E86" s="1040"/>
      <c r="F86" s="1041"/>
    </row>
    <row r="87" spans="2:6" ht="15.75" thickBot="1" x14ac:dyDescent="0.3">
      <c r="B87" s="1017"/>
      <c r="C87" s="1042"/>
      <c r="D87" s="1043"/>
      <c r="E87" s="1043"/>
      <c r="F87" s="1044"/>
    </row>
    <row r="88" spans="2:6" ht="15.75" thickBot="1" x14ac:dyDescent="0.3">
      <c r="B88" s="175"/>
      <c r="C88" s="176"/>
      <c r="D88" s="176"/>
      <c r="E88" s="176"/>
      <c r="F88" s="176"/>
    </row>
    <row r="89" spans="2:6" ht="27" customHeight="1" thickBot="1" x14ac:dyDescent="0.3">
      <c r="B89" s="158" t="s">
        <v>82</v>
      </c>
      <c r="C89" s="177">
        <f>C27+C53+C74</f>
        <v>33700</v>
      </c>
      <c r="D89" s="177">
        <f t="shared" ref="D89:F89" si="2">D27+D53+D74</f>
        <v>34000</v>
      </c>
      <c r="E89" s="177">
        <f t="shared" si="2"/>
        <v>34500</v>
      </c>
      <c r="F89" s="177">
        <f t="shared" si="2"/>
        <v>35000</v>
      </c>
    </row>
    <row r="90" spans="2:6" ht="15.75" thickBot="1" x14ac:dyDescent="0.3">
      <c r="B90" s="158" t="s">
        <v>83</v>
      </c>
      <c r="C90" s="177">
        <f>C92+C94+C96+C98+C100+C102+C104+C108</f>
        <v>33700</v>
      </c>
      <c r="D90" s="177">
        <f t="shared" ref="D90:F90" si="3">D92+D94+D96+D98+D100+D102+D104+D108</f>
        <v>34000</v>
      </c>
      <c r="E90" s="177">
        <f>E92+E94+E96+E98+E100+E102+E104+E108</f>
        <v>34500</v>
      </c>
      <c r="F90" s="177">
        <f t="shared" si="3"/>
        <v>35000</v>
      </c>
    </row>
    <row r="91" spans="2:6" ht="15.75" thickBot="1" x14ac:dyDescent="0.3">
      <c r="B91" s="178" t="s">
        <v>84</v>
      </c>
      <c r="C91" s="179"/>
      <c r="D91" s="180">
        <f>D90/C90-1</f>
        <v>8.9020771513352859E-3</v>
      </c>
      <c r="E91" s="180">
        <f t="shared" ref="E91:F91" si="4">E90/D90-1</f>
        <v>1.4705882352941124E-2</v>
      </c>
      <c r="F91" s="180">
        <f t="shared" si="4"/>
        <v>1.449275362318847E-2</v>
      </c>
    </row>
    <row r="92" spans="2:6" ht="15.75" thickBot="1" x14ac:dyDescent="0.3">
      <c r="B92" s="65" t="s">
        <v>26</v>
      </c>
      <c r="C92" s="164">
        <f>+C35</f>
        <v>18330</v>
      </c>
      <c r="D92" s="164">
        <f t="shared" ref="D92:F92" si="5">+D35</f>
        <v>18330</v>
      </c>
      <c r="E92" s="164">
        <f t="shared" si="5"/>
        <v>18330</v>
      </c>
      <c r="F92" s="164">
        <f t="shared" si="5"/>
        <v>18330</v>
      </c>
    </row>
    <row r="93" spans="2:6" ht="15.75" thickBot="1" x14ac:dyDescent="0.3">
      <c r="B93" s="181" t="s">
        <v>85</v>
      </c>
      <c r="C93" s="165"/>
      <c r="D93" s="182">
        <f>D92/C92-1</f>
        <v>0</v>
      </c>
      <c r="E93" s="182">
        <f t="shared" ref="E93:F93" si="6">E92/D92-1</f>
        <v>0</v>
      </c>
      <c r="F93" s="182">
        <f t="shared" si="6"/>
        <v>0</v>
      </c>
    </row>
    <row r="94" spans="2:6" ht="15.75" thickBot="1" x14ac:dyDescent="0.3">
      <c r="B94" s="65" t="s">
        <v>28</v>
      </c>
      <c r="C94" s="164">
        <f>+C36</f>
        <v>2970</v>
      </c>
      <c r="D94" s="164">
        <f t="shared" ref="D94:F94" si="7">+D36</f>
        <v>2970</v>
      </c>
      <c r="E94" s="164">
        <f t="shared" si="7"/>
        <v>2970</v>
      </c>
      <c r="F94" s="164">
        <f t="shared" si="7"/>
        <v>2970</v>
      </c>
    </row>
    <row r="95" spans="2:6" ht="15.75" thickBot="1" x14ac:dyDescent="0.3">
      <c r="B95" s="181" t="s">
        <v>86</v>
      </c>
      <c r="C95" s="165"/>
      <c r="D95" s="182">
        <f>D94/C94-1</f>
        <v>0</v>
      </c>
      <c r="E95" s="182">
        <f t="shared" ref="E95:F95" si="8">E94/D94-1</f>
        <v>0</v>
      </c>
      <c r="F95" s="182">
        <f t="shared" si="8"/>
        <v>0</v>
      </c>
    </row>
    <row r="96" spans="2:6" ht="15.75" thickBot="1" x14ac:dyDescent="0.3">
      <c r="B96" s="65" t="s">
        <v>30</v>
      </c>
      <c r="C96" s="164">
        <f>+C37</f>
        <v>11400</v>
      </c>
      <c r="D96" s="164">
        <f t="shared" ref="D96:F96" si="9">+D37</f>
        <v>11700</v>
      </c>
      <c r="E96" s="164">
        <f t="shared" si="9"/>
        <v>12200</v>
      </c>
      <c r="F96" s="164">
        <f t="shared" si="9"/>
        <v>12700</v>
      </c>
    </row>
    <row r="97" spans="2:6" ht="15.75" thickBot="1" x14ac:dyDescent="0.3">
      <c r="B97" s="181" t="s">
        <v>87</v>
      </c>
      <c r="C97" s="165"/>
      <c r="D97" s="182">
        <f>D96/C96-1</f>
        <v>2.6315789473684292E-2</v>
      </c>
      <c r="E97" s="182">
        <f t="shared" ref="E97:F97" si="10">E96/D96-1</f>
        <v>4.2735042735042805E-2</v>
      </c>
      <c r="F97" s="182">
        <f t="shared" si="10"/>
        <v>4.0983606557376984E-2</v>
      </c>
    </row>
    <row r="98" spans="2:6" ht="15.75" thickBot="1" x14ac:dyDescent="0.3">
      <c r="B98" s="65" t="s">
        <v>32</v>
      </c>
      <c r="C98" s="164">
        <f>+C38</f>
        <v>0</v>
      </c>
      <c r="D98" s="164">
        <f t="shared" ref="D98:F98" si="11">+D38</f>
        <v>0</v>
      </c>
      <c r="E98" s="164">
        <f t="shared" si="11"/>
        <v>0</v>
      </c>
      <c r="F98" s="164">
        <f t="shared" si="11"/>
        <v>0</v>
      </c>
    </row>
    <row r="99" spans="2:6" ht="15.75" thickBot="1" x14ac:dyDescent="0.3">
      <c r="B99" s="181" t="s">
        <v>88</v>
      </c>
      <c r="C99" s="165"/>
      <c r="D99" s="182">
        <v>0</v>
      </c>
      <c r="E99" s="182">
        <v>0</v>
      </c>
      <c r="F99" s="182">
        <v>0</v>
      </c>
    </row>
    <row r="100" spans="2:6" ht="15.75" thickBot="1" x14ac:dyDescent="0.3">
      <c r="B100" s="65" t="s">
        <v>34</v>
      </c>
      <c r="C100" s="164">
        <f>+C39</f>
        <v>0</v>
      </c>
      <c r="D100" s="164">
        <f t="shared" ref="D100:F100" si="12">+D39</f>
        <v>0</v>
      </c>
      <c r="E100" s="164">
        <f t="shared" si="12"/>
        <v>0</v>
      </c>
      <c r="F100" s="164">
        <f t="shared" si="12"/>
        <v>0</v>
      </c>
    </row>
    <row r="101" spans="2:6" ht="15.75" thickBot="1" x14ac:dyDescent="0.3">
      <c r="B101" s="181" t="s">
        <v>89</v>
      </c>
      <c r="C101" s="165"/>
      <c r="D101" s="182">
        <v>0</v>
      </c>
      <c r="E101" s="182">
        <v>0</v>
      </c>
      <c r="F101" s="182">
        <v>0</v>
      </c>
    </row>
    <row r="102" spans="2:6" ht="15.75" thickBot="1" x14ac:dyDescent="0.3">
      <c r="B102" s="65" t="s">
        <v>36</v>
      </c>
      <c r="C102" s="164">
        <f>+C40</f>
        <v>0</v>
      </c>
      <c r="D102" s="164">
        <f t="shared" ref="D102:F102" si="13">+D40</f>
        <v>0</v>
      </c>
      <c r="E102" s="164">
        <f t="shared" si="13"/>
        <v>0</v>
      </c>
      <c r="F102" s="164">
        <f t="shared" si="13"/>
        <v>0</v>
      </c>
    </row>
    <row r="103" spans="2:6" ht="15.75" thickBot="1" x14ac:dyDescent="0.3">
      <c r="B103" s="181" t="s">
        <v>90</v>
      </c>
      <c r="C103" s="165"/>
      <c r="D103" s="182">
        <v>0</v>
      </c>
      <c r="E103" s="182">
        <v>0</v>
      </c>
      <c r="F103" s="182">
        <v>0</v>
      </c>
    </row>
    <row r="104" spans="2:6" ht="15.75" thickBot="1" x14ac:dyDescent="0.3">
      <c r="B104" s="65" t="s">
        <v>38</v>
      </c>
      <c r="C104" s="164">
        <f>+C41</f>
        <v>0</v>
      </c>
      <c r="D104" s="164">
        <f t="shared" ref="D104:F104" si="14">+D41</f>
        <v>0</v>
      </c>
      <c r="E104" s="164">
        <f t="shared" si="14"/>
        <v>0</v>
      </c>
      <c r="F104" s="164">
        <f t="shared" si="14"/>
        <v>0</v>
      </c>
    </row>
    <row r="105" spans="2:6" ht="15.75" thickBot="1" x14ac:dyDescent="0.3">
      <c r="B105" s="181" t="s">
        <v>91</v>
      </c>
      <c r="C105" s="165"/>
      <c r="D105" s="182">
        <v>0</v>
      </c>
      <c r="E105" s="182">
        <v>0</v>
      </c>
      <c r="F105" s="182">
        <v>0</v>
      </c>
    </row>
    <row r="106" spans="2:6" ht="15.75" thickBot="1" x14ac:dyDescent="0.3">
      <c r="B106" s="65" t="s">
        <v>92</v>
      </c>
      <c r="C106" s="164">
        <f>C61+C82</f>
        <v>0</v>
      </c>
      <c r="D106" s="164">
        <f t="shared" ref="D106:F106" si="15">D61+D82</f>
        <v>0</v>
      </c>
      <c r="E106" s="164">
        <f t="shared" si="15"/>
        <v>0</v>
      </c>
      <c r="F106" s="164">
        <f t="shared" si="15"/>
        <v>0</v>
      </c>
    </row>
    <row r="107" spans="2:6" ht="15.75" thickBot="1" x14ac:dyDescent="0.3">
      <c r="B107" s="181" t="s">
        <v>93</v>
      </c>
      <c r="C107" s="165"/>
      <c r="D107" s="182">
        <v>0</v>
      </c>
      <c r="E107" s="182">
        <v>0</v>
      </c>
      <c r="F107" s="182">
        <v>0</v>
      </c>
    </row>
    <row r="108" spans="2:6" ht="15.75" thickBot="1" x14ac:dyDescent="0.3">
      <c r="B108" s="65" t="s">
        <v>94</v>
      </c>
      <c r="C108" s="164">
        <f>C62+C83</f>
        <v>1000</v>
      </c>
      <c r="D108" s="164">
        <f t="shared" ref="D108:F108" si="16">D62+D83</f>
        <v>1000</v>
      </c>
      <c r="E108" s="164">
        <f t="shared" si="16"/>
        <v>1000</v>
      </c>
      <c r="F108" s="164">
        <f t="shared" si="16"/>
        <v>1000</v>
      </c>
    </row>
    <row r="109" spans="2:6" ht="15.75" thickBot="1" x14ac:dyDescent="0.3">
      <c r="B109" s="181" t="s">
        <v>95</v>
      </c>
      <c r="C109" s="165"/>
      <c r="D109" s="182">
        <f>D108/C108-1</f>
        <v>0</v>
      </c>
      <c r="E109" s="182">
        <f t="shared" ref="E109:F109" si="17">E108/D108-1</f>
        <v>0</v>
      </c>
      <c r="F109" s="182">
        <f t="shared" si="17"/>
        <v>0</v>
      </c>
    </row>
    <row r="110" spans="2:6" ht="15.75" thickBot="1" x14ac:dyDescent="0.3">
      <c r="B110" s="166" t="s">
        <v>41</v>
      </c>
      <c r="C110" s="167">
        <f>IF(C90-C89=0,0,"Error")</f>
        <v>0</v>
      </c>
      <c r="D110" s="167">
        <f t="shared" ref="D110:F110" si="18">IF(D90-D89=0,0,"Error")</f>
        <v>0</v>
      </c>
      <c r="E110" s="167">
        <f t="shared" si="18"/>
        <v>0</v>
      </c>
      <c r="F110" s="167">
        <f t="shared" si="18"/>
        <v>0</v>
      </c>
    </row>
    <row r="111" spans="2:6" ht="15.75" thickBot="1" x14ac:dyDescent="0.3">
      <c r="B111" s="183" t="s">
        <v>96</v>
      </c>
      <c r="C111" s="164">
        <v>19</v>
      </c>
      <c r="D111" s="164">
        <v>19</v>
      </c>
      <c r="E111" s="164">
        <v>19</v>
      </c>
      <c r="F111" s="164">
        <v>19</v>
      </c>
    </row>
    <row r="112" spans="2:6" ht="15.75" thickBot="1" x14ac:dyDescent="0.3">
      <c r="B112" s="183" t="s">
        <v>97</v>
      </c>
      <c r="C112" s="164">
        <v>0</v>
      </c>
      <c r="D112" s="164">
        <v>0</v>
      </c>
      <c r="E112" s="164">
        <v>0</v>
      </c>
      <c r="F112" s="164">
        <v>0</v>
      </c>
    </row>
    <row r="113" spans="1:8" x14ac:dyDescent="0.25">
      <c r="B113" s="184"/>
      <c r="C113" s="185"/>
      <c r="D113" s="185"/>
      <c r="E113" s="185"/>
      <c r="F113" s="185"/>
    </row>
    <row r="114" spans="1:8" ht="39" customHeight="1" x14ac:dyDescent="0.25">
      <c r="A114" s="191"/>
      <c r="B114" s="189"/>
      <c r="C114" s="191"/>
      <c r="D114" s="189"/>
      <c r="E114" s="189"/>
      <c r="F114" s="254" t="s">
        <v>481</v>
      </c>
      <c r="G114" s="189"/>
      <c r="H114" s="189"/>
    </row>
    <row r="115" spans="1:8" ht="39" customHeight="1" x14ac:dyDescent="0.25">
      <c r="A115" s="191"/>
      <c r="B115" s="189"/>
      <c r="C115" s="191"/>
      <c r="D115" s="189"/>
      <c r="E115" s="189"/>
      <c r="F115" s="254"/>
      <c r="G115" s="189"/>
      <c r="H115" s="189"/>
    </row>
    <row r="116" spans="1:8" ht="39" customHeight="1" x14ac:dyDescent="0.25">
      <c r="A116" s="191"/>
      <c r="B116" s="189"/>
      <c r="C116" s="191"/>
      <c r="D116" s="189"/>
      <c r="E116" s="189"/>
      <c r="F116" s="254"/>
      <c r="G116" s="189"/>
      <c r="H116" s="189"/>
    </row>
    <row r="117" spans="1:8" ht="39" customHeight="1" x14ac:dyDescent="0.25">
      <c r="A117" s="191"/>
      <c r="B117" s="189"/>
      <c r="C117" s="191"/>
      <c r="D117" s="189"/>
      <c r="E117" s="189"/>
      <c r="F117" s="254"/>
      <c r="G117" s="189"/>
      <c r="H117" s="189"/>
    </row>
    <row r="118" spans="1:8" ht="39" customHeight="1" x14ac:dyDescent="0.25">
      <c r="A118" s="191"/>
      <c r="B118" s="189"/>
      <c r="C118" s="191"/>
      <c r="D118" s="189"/>
      <c r="E118" s="189"/>
      <c r="F118" s="254"/>
      <c r="G118" s="189"/>
      <c r="H118" s="189"/>
    </row>
    <row r="119" spans="1:8" ht="39" customHeight="1" x14ac:dyDescent="0.25">
      <c r="A119" s="191"/>
      <c r="B119" s="189"/>
      <c r="C119" s="191"/>
      <c r="D119" s="189"/>
      <c r="E119" s="189"/>
      <c r="F119" s="254"/>
      <c r="G119" s="189"/>
      <c r="H119" s="189"/>
    </row>
    <row r="120" spans="1:8" ht="39" customHeight="1" x14ac:dyDescent="0.25">
      <c r="A120" s="191"/>
      <c r="B120" s="189"/>
      <c r="C120" s="191"/>
      <c r="D120" s="189"/>
      <c r="E120" s="189"/>
      <c r="F120" s="254"/>
      <c r="G120" s="189"/>
      <c r="H120" s="189"/>
    </row>
    <row r="121" spans="1:8" ht="39" customHeight="1" x14ac:dyDescent="0.25">
      <c r="A121" s="191"/>
      <c r="B121" s="189"/>
      <c r="C121" s="191"/>
      <c r="D121" s="189"/>
      <c r="E121" s="189"/>
      <c r="F121" s="254"/>
      <c r="G121" s="189"/>
      <c r="H121" s="189"/>
    </row>
    <row r="122" spans="1:8" ht="39" customHeight="1" x14ac:dyDescent="0.25">
      <c r="A122" s="191"/>
      <c r="B122" s="189"/>
      <c r="C122" s="191"/>
      <c r="D122" s="189"/>
      <c r="E122" s="189"/>
      <c r="F122" s="254"/>
      <c r="G122" s="189"/>
      <c r="H122" s="189"/>
    </row>
    <row r="123" spans="1:8" ht="39" customHeight="1" x14ac:dyDescent="0.25">
      <c r="A123" s="191"/>
      <c r="B123" s="189"/>
      <c r="C123" s="191"/>
      <c r="D123" s="189"/>
      <c r="E123" s="189"/>
      <c r="F123" s="254"/>
      <c r="G123" s="189"/>
      <c r="H123" s="189"/>
    </row>
    <row r="124" spans="1:8" ht="39" customHeight="1" x14ac:dyDescent="0.25">
      <c r="A124" s="191"/>
      <c r="B124" s="189"/>
      <c r="C124" s="191"/>
      <c r="D124" s="189"/>
      <c r="E124" s="189"/>
      <c r="F124" s="254"/>
      <c r="G124" s="189"/>
      <c r="H124" s="189"/>
    </row>
    <row r="125" spans="1:8" ht="39" customHeight="1" x14ac:dyDescent="0.25">
      <c r="A125" s="191"/>
      <c r="B125" s="189"/>
      <c r="C125" s="191"/>
      <c r="D125" s="189"/>
      <c r="E125" s="189"/>
      <c r="F125" s="254"/>
      <c r="G125" s="189"/>
      <c r="H125" s="189"/>
    </row>
    <row r="126" spans="1:8" ht="39" customHeight="1" x14ac:dyDescent="0.25">
      <c r="A126" s="191"/>
      <c r="B126" s="189"/>
      <c r="C126" s="191"/>
      <c r="D126" s="189"/>
      <c r="E126" s="189"/>
      <c r="F126" s="254"/>
      <c r="G126" s="189"/>
      <c r="H126" s="189"/>
    </row>
    <row r="127" spans="1:8" ht="39" customHeight="1" x14ac:dyDescent="0.25">
      <c r="A127" s="191"/>
      <c r="B127" s="189"/>
      <c r="C127" s="191"/>
      <c r="D127" s="189"/>
      <c r="E127" s="189"/>
      <c r="F127" s="254"/>
      <c r="G127" s="189"/>
      <c r="H127" s="189"/>
    </row>
    <row r="128" spans="1:8" ht="39" customHeight="1" x14ac:dyDescent="0.25">
      <c r="A128" s="191"/>
      <c r="B128" s="189"/>
      <c r="C128" s="191"/>
      <c r="D128" s="189"/>
      <c r="E128" s="189"/>
      <c r="F128" s="254"/>
      <c r="G128" s="189"/>
      <c r="H128" s="189"/>
    </row>
    <row r="129" spans="1:8" ht="39" customHeight="1" x14ac:dyDescent="0.25">
      <c r="A129" s="191"/>
      <c r="B129" s="189"/>
      <c r="C129" s="191"/>
      <c r="D129" s="189"/>
      <c r="E129" s="189"/>
      <c r="F129" s="254"/>
      <c r="G129" s="189"/>
      <c r="H129" s="189"/>
    </row>
    <row r="130" spans="1:8" ht="39" customHeight="1" x14ac:dyDescent="0.25">
      <c r="A130" s="191"/>
      <c r="B130" s="189"/>
      <c r="C130" s="191"/>
      <c r="D130" s="189"/>
      <c r="E130" s="189"/>
      <c r="F130" s="254"/>
      <c r="G130" s="189"/>
      <c r="H130" s="189"/>
    </row>
    <row r="131" spans="1:8" ht="39" customHeight="1" x14ac:dyDescent="0.25">
      <c r="A131" s="191"/>
      <c r="B131" s="189"/>
      <c r="C131" s="191"/>
      <c r="D131" s="189"/>
      <c r="E131" s="189"/>
      <c r="F131" s="254"/>
      <c r="G131" s="189"/>
      <c r="H131" s="189"/>
    </row>
    <row r="132" spans="1:8" ht="15.75" thickBot="1" x14ac:dyDescent="0.3">
      <c r="A132" s="191"/>
      <c r="B132" s="189"/>
      <c r="C132" s="190"/>
      <c r="D132" s="191"/>
      <c r="E132" s="189"/>
      <c r="F132" s="189"/>
    </row>
    <row r="133" spans="1:8" ht="15.75" thickBot="1" x14ac:dyDescent="0.3">
      <c r="A133" s="191"/>
      <c r="B133" s="206" t="s">
        <v>98</v>
      </c>
      <c r="C133" s="190"/>
      <c r="D133" s="191"/>
      <c r="E133" s="189"/>
      <c r="F133" s="189"/>
    </row>
    <row r="134" spans="1:8" ht="39.75" customHeight="1" x14ac:dyDescent="0.25">
      <c r="A134" s="191"/>
      <c r="B134" s="870" t="s">
        <v>108</v>
      </c>
      <c r="C134" s="871"/>
      <c r="D134" s="871"/>
      <c r="E134" s="871"/>
      <c r="F134" s="872"/>
    </row>
    <row r="135" spans="1:8" ht="40.5" customHeight="1" x14ac:dyDescent="0.25">
      <c r="A135" s="191"/>
      <c r="B135" s="873" t="s">
        <v>109</v>
      </c>
      <c r="C135" s="874"/>
      <c r="D135" s="874"/>
      <c r="E135" s="874"/>
      <c r="F135" s="875"/>
    </row>
    <row r="136" spans="1:8" ht="28.5" customHeight="1" x14ac:dyDescent="0.25">
      <c r="B136" s="876" t="s">
        <v>110</v>
      </c>
      <c r="C136" s="877"/>
      <c r="D136" s="877"/>
      <c r="E136" s="877"/>
      <c r="F136" s="878"/>
      <c r="G136" s="207"/>
    </row>
    <row r="137" spans="1:8" ht="18" customHeight="1" x14ac:dyDescent="0.25">
      <c r="B137" s="876" t="s">
        <v>99</v>
      </c>
      <c r="C137" s="877"/>
      <c r="D137" s="877"/>
      <c r="E137" s="877"/>
      <c r="F137" s="878"/>
      <c r="G137" s="207"/>
    </row>
    <row r="138" spans="1:8" ht="36" customHeight="1" x14ac:dyDescent="0.25">
      <c r="B138" s="876" t="s">
        <v>100</v>
      </c>
      <c r="C138" s="877"/>
      <c r="D138" s="877"/>
      <c r="E138" s="877"/>
      <c r="F138" s="878"/>
      <c r="G138" s="208"/>
    </row>
    <row r="139" spans="1:8" ht="27" customHeight="1" x14ac:dyDescent="0.25">
      <c r="B139" s="879" t="s">
        <v>795</v>
      </c>
      <c r="C139" s="880"/>
      <c r="D139" s="880"/>
      <c r="E139" s="880"/>
      <c r="F139" s="881"/>
    </row>
    <row r="140" spans="1:8" ht="47.25" customHeight="1" thickBot="1" x14ac:dyDescent="0.3">
      <c r="B140" s="867" t="s">
        <v>101</v>
      </c>
      <c r="C140" s="868"/>
      <c r="D140" s="868"/>
      <c r="E140" s="868"/>
      <c r="F140" s="869"/>
    </row>
  </sheetData>
  <mergeCells count="45">
    <mergeCell ref="B19:F19"/>
    <mergeCell ref="B2:F2"/>
    <mergeCell ref="C4:F4"/>
    <mergeCell ref="C5:F5"/>
    <mergeCell ref="C6:F6"/>
    <mergeCell ref="B7:F7"/>
    <mergeCell ref="B8:F10"/>
    <mergeCell ref="C11:F11"/>
    <mergeCell ref="B12:B13"/>
    <mergeCell ref="C16:F16"/>
    <mergeCell ref="B17:F17"/>
    <mergeCell ref="C48:F48"/>
    <mergeCell ref="B20:F20"/>
    <mergeCell ref="C21:F21"/>
    <mergeCell ref="C22:F22"/>
    <mergeCell ref="C23:F23"/>
    <mergeCell ref="B24:B25"/>
    <mergeCell ref="B32:F32"/>
    <mergeCell ref="B33:B34"/>
    <mergeCell ref="B44:F44"/>
    <mergeCell ref="B45:F45"/>
    <mergeCell ref="C46:F46"/>
    <mergeCell ref="C47:F47"/>
    <mergeCell ref="B80:B81"/>
    <mergeCell ref="B85:B87"/>
    <mergeCell ref="C85:F87"/>
    <mergeCell ref="B79:F79"/>
    <mergeCell ref="C49:F49"/>
    <mergeCell ref="B50:B51"/>
    <mergeCell ref="B58:F58"/>
    <mergeCell ref="B59:B60"/>
    <mergeCell ref="B64:B66"/>
    <mergeCell ref="C64:F66"/>
    <mergeCell ref="C67:F67"/>
    <mergeCell ref="C68:F68"/>
    <mergeCell ref="C69:F69"/>
    <mergeCell ref="C70:F70"/>
    <mergeCell ref="B71:B72"/>
    <mergeCell ref="B140:F140"/>
    <mergeCell ref="B134:F134"/>
    <mergeCell ref="B135:F135"/>
    <mergeCell ref="B136:F136"/>
    <mergeCell ref="B137:F137"/>
    <mergeCell ref="B138:F138"/>
    <mergeCell ref="B139:F139"/>
  </mergeCells>
  <printOptions horizontalCentered="1" verticalCentered="1"/>
  <pageMargins left="0.25" right="0.25" top="0.22" bottom="0.22" header="0.21" footer="0.21"/>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78"/>
  <sheetViews>
    <sheetView topLeftCell="A349" workbookViewId="0">
      <selection activeCell="M14" sqref="M14"/>
    </sheetView>
  </sheetViews>
  <sheetFormatPr defaultRowHeight="15" x14ac:dyDescent="0.25"/>
  <cols>
    <col min="1" max="1" width="9.140625" style="152"/>
    <col min="2" max="2" width="47.28515625" style="152" customWidth="1"/>
    <col min="3" max="3" width="18" style="152" customWidth="1"/>
    <col min="4" max="4" width="20.28515625" style="152" customWidth="1"/>
    <col min="5" max="5" width="19.42578125" style="152" customWidth="1"/>
    <col min="6" max="6" width="22.85546875" style="152" customWidth="1"/>
    <col min="7" max="16384" width="9.140625" style="152"/>
  </cols>
  <sheetData>
    <row r="2" spans="2:6" x14ac:dyDescent="0.25">
      <c r="B2" s="762" t="s">
        <v>0</v>
      </c>
      <c r="C2" s="762"/>
      <c r="D2" s="762"/>
      <c r="E2" s="762"/>
      <c r="F2" s="762"/>
    </row>
    <row r="3" spans="2:6" ht="15.75" thickBot="1" x14ac:dyDescent="0.3"/>
    <row r="4" spans="2:6" ht="15.75" thickBot="1" x14ac:dyDescent="0.3">
      <c r="B4" s="153" t="s">
        <v>2</v>
      </c>
      <c r="C4" s="979" t="s">
        <v>1051</v>
      </c>
      <c r="D4" s="979"/>
      <c r="E4" s="979"/>
      <c r="F4" s="979"/>
    </row>
    <row r="5" spans="2:6" ht="15.75" thickBot="1" x14ac:dyDescent="0.3">
      <c r="B5" s="153" t="s">
        <v>3</v>
      </c>
      <c r="C5" s="980" t="s">
        <v>1052</v>
      </c>
      <c r="D5" s="981"/>
      <c r="E5" s="981"/>
      <c r="F5" s="982"/>
    </row>
    <row r="6" spans="2:6" ht="37.5" customHeight="1" thickBot="1" x14ac:dyDescent="0.3">
      <c r="B6" s="153" t="s">
        <v>5</v>
      </c>
      <c r="C6" s="983" t="s">
        <v>6</v>
      </c>
      <c r="D6" s="984"/>
      <c r="E6" s="984"/>
      <c r="F6" s="985"/>
    </row>
    <row r="7" spans="2:6" ht="15.75" thickBot="1" x14ac:dyDescent="0.3">
      <c r="B7" s="986" t="s">
        <v>7</v>
      </c>
      <c r="C7" s="987"/>
      <c r="D7" s="987"/>
      <c r="E7" s="987"/>
      <c r="F7" s="988"/>
    </row>
    <row r="8" spans="2:6" ht="15.75" thickBot="1" x14ac:dyDescent="0.3">
      <c r="B8" s="1003" t="s">
        <v>1053</v>
      </c>
      <c r="C8" s="1004"/>
      <c r="D8" s="1004"/>
      <c r="E8" s="1004"/>
      <c r="F8" s="1005"/>
    </row>
    <row r="9" spans="2:6" ht="15.75" thickBot="1" x14ac:dyDescent="0.3">
      <c r="B9" s="1003"/>
      <c r="C9" s="1004"/>
      <c r="D9" s="1004"/>
      <c r="E9" s="1004"/>
      <c r="F9" s="1005"/>
    </row>
    <row r="10" spans="2:6" ht="27.75" customHeight="1" thickBot="1" x14ac:dyDescent="0.3">
      <c r="B10" s="1003"/>
      <c r="C10" s="1004"/>
      <c r="D10" s="1004"/>
      <c r="E10" s="1004"/>
      <c r="F10" s="1005"/>
    </row>
    <row r="11" spans="2:6" ht="15.75" thickBot="1" x14ac:dyDescent="0.3">
      <c r="B11" s="154" t="s">
        <v>8</v>
      </c>
      <c r="C11" s="1006" t="s">
        <v>1054</v>
      </c>
      <c r="D11" s="993"/>
      <c r="E11" s="993"/>
      <c r="F11" s="994"/>
    </row>
    <row r="12" spans="2:6" x14ac:dyDescent="0.25">
      <c r="B12" s="998" t="s">
        <v>102</v>
      </c>
      <c r="C12" s="640">
        <v>2018</v>
      </c>
      <c r="D12" s="640">
        <v>2019</v>
      </c>
      <c r="E12" s="640">
        <v>2020</v>
      </c>
      <c r="F12" s="640">
        <v>2021</v>
      </c>
    </row>
    <row r="13" spans="2:6" ht="15.75" thickBot="1" x14ac:dyDescent="0.3">
      <c r="B13" s="999"/>
      <c r="C13" s="641" t="s">
        <v>10</v>
      </c>
      <c r="D13" s="641" t="s">
        <v>11</v>
      </c>
      <c r="E13" s="641" t="s">
        <v>11</v>
      </c>
      <c r="F13" s="641" t="s">
        <v>11</v>
      </c>
    </row>
    <row r="14" spans="2:6" ht="15.75" thickBot="1" x14ac:dyDescent="0.3">
      <c r="B14" s="637" t="s">
        <v>211</v>
      </c>
      <c r="C14" s="157" t="s">
        <v>1055</v>
      </c>
      <c r="D14" s="157" t="s">
        <v>1055</v>
      </c>
      <c r="E14" s="157" t="s">
        <v>1055</v>
      </c>
      <c r="F14" s="157" t="s">
        <v>1055</v>
      </c>
    </row>
    <row r="15" spans="2:6" ht="15.75" thickBot="1" x14ac:dyDescent="0.3">
      <c r="B15" s="62" t="s">
        <v>212</v>
      </c>
      <c r="C15" s="157"/>
      <c r="D15" s="157"/>
      <c r="E15" s="157"/>
      <c r="F15" s="157"/>
    </row>
    <row r="16" spans="2:6" ht="27" customHeight="1" thickBot="1" x14ac:dyDescent="0.3">
      <c r="B16" s="62" t="s">
        <v>115</v>
      </c>
      <c r="C16" s="157"/>
      <c r="D16" s="157"/>
      <c r="E16" s="157"/>
      <c r="F16" s="157"/>
    </row>
    <row r="17" spans="2:6" ht="15.75" thickBot="1" x14ac:dyDescent="0.3">
      <c r="B17" s="158" t="s">
        <v>12</v>
      </c>
      <c r="C17" s="1007" t="s">
        <v>1056</v>
      </c>
      <c r="D17" s="1006"/>
      <c r="E17" s="1006"/>
      <c r="F17" s="1008"/>
    </row>
    <row r="18" spans="2:6" ht="15.75" thickBot="1" x14ac:dyDescent="0.3">
      <c r="B18" s="983" t="s">
        <v>1057</v>
      </c>
      <c r="C18" s="984"/>
      <c r="D18" s="984"/>
      <c r="E18" s="984"/>
      <c r="F18" s="985"/>
    </row>
    <row r="19" spans="2:6" ht="15.75" thickBot="1" x14ac:dyDescent="0.3">
      <c r="B19" s="637" t="s">
        <v>211</v>
      </c>
      <c r="C19" s="157"/>
      <c r="D19" s="157">
        <v>0.01</v>
      </c>
      <c r="E19" s="157">
        <v>0.01</v>
      </c>
      <c r="F19" s="157">
        <v>0.01</v>
      </c>
    </row>
    <row r="20" spans="2:6" ht="15.75" thickBot="1" x14ac:dyDescent="0.3">
      <c r="B20" s="62" t="s">
        <v>212</v>
      </c>
      <c r="C20" s="157"/>
      <c r="D20" s="157"/>
      <c r="E20" s="157"/>
      <c r="F20" s="157"/>
    </row>
    <row r="21" spans="2:6" ht="25.5" customHeight="1" thickBot="1" x14ac:dyDescent="0.3">
      <c r="B21" s="62" t="s">
        <v>115</v>
      </c>
      <c r="C21" s="157"/>
      <c r="D21" s="157"/>
      <c r="E21" s="157"/>
      <c r="F21" s="157"/>
    </row>
    <row r="22" spans="2:6" ht="15.75" thickBot="1" x14ac:dyDescent="0.3">
      <c r="B22" s="989" t="s">
        <v>14</v>
      </c>
      <c r="C22" s="990"/>
      <c r="D22" s="990"/>
      <c r="E22" s="990"/>
      <c r="F22" s="991"/>
    </row>
    <row r="23" spans="2:6" ht="15.75" thickBot="1" x14ac:dyDescent="0.3">
      <c r="B23" s="989" t="s">
        <v>104</v>
      </c>
      <c r="C23" s="990"/>
      <c r="D23" s="990"/>
      <c r="E23" s="990"/>
      <c r="F23" s="991"/>
    </row>
    <row r="24" spans="2:6" ht="15.75" thickBot="1" x14ac:dyDescent="0.3">
      <c r="B24" s="160" t="s">
        <v>105</v>
      </c>
      <c r="C24" s="992" t="s">
        <v>1058</v>
      </c>
      <c r="D24" s="993"/>
      <c r="E24" s="993"/>
      <c r="F24" s="994"/>
    </row>
    <row r="25" spans="2:6" ht="71.25" customHeight="1" thickBot="1" x14ac:dyDescent="0.3">
      <c r="B25" s="62" t="s">
        <v>17</v>
      </c>
      <c r="C25" s="983" t="s">
        <v>1059</v>
      </c>
      <c r="D25" s="984"/>
      <c r="E25" s="984"/>
      <c r="F25" s="985"/>
    </row>
    <row r="26" spans="2:6" ht="15.75" thickBot="1" x14ac:dyDescent="0.3">
      <c r="B26" s="62" t="s">
        <v>18</v>
      </c>
      <c r="C26" s="995" t="s">
        <v>1060</v>
      </c>
      <c r="D26" s="996"/>
      <c r="E26" s="996"/>
      <c r="F26" s="997"/>
    </row>
    <row r="27" spans="2:6" x14ac:dyDescent="0.25">
      <c r="B27" s="998"/>
      <c r="C27" s="63">
        <v>2018</v>
      </c>
      <c r="D27" s="63">
        <v>2019</v>
      </c>
      <c r="E27" s="63">
        <v>2020</v>
      </c>
      <c r="F27" s="63">
        <v>2021</v>
      </c>
    </row>
    <row r="28" spans="2:6" ht="15.75" thickBot="1" x14ac:dyDescent="0.3">
      <c r="B28" s="999"/>
      <c r="C28" s="64" t="s">
        <v>10</v>
      </c>
      <c r="D28" s="64" t="s">
        <v>11</v>
      </c>
      <c r="E28" s="64" t="s">
        <v>11</v>
      </c>
      <c r="F28" s="64" t="s">
        <v>11</v>
      </c>
    </row>
    <row r="29" spans="2:6" ht="15.75" thickBot="1" x14ac:dyDescent="0.3">
      <c r="B29" s="62" t="s">
        <v>19</v>
      </c>
      <c r="C29" s="161" t="s">
        <v>1061</v>
      </c>
      <c r="D29" s="161" t="s">
        <v>1061</v>
      </c>
      <c r="E29" s="161" t="s">
        <v>1061</v>
      </c>
      <c r="F29" s="161" t="s">
        <v>1061</v>
      </c>
    </row>
    <row r="30" spans="2:6" ht="15.75" thickBot="1" x14ac:dyDescent="0.3">
      <c r="B30" s="62" t="s">
        <v>20</v>
      </c>
      <c r="C30" s="161">
        <v>1494000</v>
      </c>
      <c r="D30" s="161">
        <v>1500000</v>
      </c>
      <c r="E30" s="161">
        <v>1550000</v>
      </c>
      <c r="F30" s="161">
        <v>1555000</v>
      </c>
    </row>
    <row r="31" spans="2:6" ht="15.75" thickBot="1" x14ac:dyDescent="0.3">
      <c r="B31" s="62" t="s">
        <v>21</v>
      </c>
      <c r="C31" s="161" t="s">
        <v>1061</v>
      </c>
      <c r="D31" s="161" t="s">
        <v>1061</v>
      </c>
      <c r="E31" s="161" t="s">
        <v>1061</v>
      </c>
      <c r="F31" s="161" t="s">
        <v>1061</v>
      </c>
    </row>
    <row r="32" spans="2:6" ht="15.75" thickBot="1" x14ac:dyDescent="0.3">
      <c r="B32" s="62" t="s">
        <v>22</v>
      </c>
      <c r="C32" s="636" t="s">
        <v>23</v>
      </c>
      <c r="D32" s="162">
        <v>1.0000000000000009E-2</v>
      </c>
      <c r="E32" s="162">
        <v>1.0000000000000009E-2</v>
      </c>
      <c r="F32" s="162">
        <v>1.0000000000000009E-2</v>
      </c>
    </row>
    <row r="33" spans="2:6" ht="15.75" thickBot="1" x14ac:dyDescent="0.3">
      <c r="B33" s="62" t="s">
        <v>24</v>
      </c>
      <c r="C33" s="636" t="s">
        <v>23</v>
      </c>
      <c r="D33" s="162">
        <v>4.0160642570281624E-3</v>
      </c>
      <c r="E33" s="162">
        <v>3.3333333333333437E-2</v>
      </c>
      <c r="F33" s="162">
        <v>3.225806451612856E-3</v>
      </c>
    </row>
    <row r="34" spans="2:6" ht="15.75" thickBot="1" x14ac:dyDescent="0.3">
      <c r="B34" s="62" t="s">
        <v>25</v>
      </c>
      <c r="C34" s="636" t="s">
        <v>23</v>
      </c>
      <c r="D34" s="162">
        <v>-5.924688854427651E-3</v>
      </c>
      <c r="E34" s="162">
        <v>2.3102310231023049E-2</v>
      </c>
      <c r="F34" s="162">
        <v>-6.707122325135817E-3</v>
      </c>
    </row>
    <row r="35" spans="2:6" ht="15.75" thickBot="1" x14ac:dyDescent="0.3">
      <c r="B35" s="1000" t="s">
        <v>1075</v>
      </c>
      <c r="C35" s="1001"/>
      <c r="D35" s="1001"/>
      <c r="E35" s="1001"/>
      <c r="F35" s="1002"/>
    </row>
    <row r="36" spans="2:6" x14ac:dyDescent="0.25">
      <c r="B36" s="998"/>
      <c r="C36" s="63">
        <v>2018</v>
      </c>
      <c r="D36" s="63">
        <v>2019</v>
      </c>
      <c r="E36" s="63">
        <v>2020</v>
      </c>
      <c r="F36" s="63">
        <v>2021</v>
      </c>
    </row>
    <row r="37" spans="2:6" ht="15.75" thickBot="1" x14ac:dyDescent="0.3">
      <c r="B37" s="999"/>
      <c r="C37" s="64" t="s">
        <v>10</v>
      </c>
      <c r="D37" s="64" t="s">
        <v>11</v>
      </c>
      <c r="E37" s="64" t="s">
        <v>11</v>
      </c>
      <c r="F37" s="64" t="s">
        <v>11</v>
      </c>
    </row>
    <row r="38" spans="2:6" ht="31.5" customHeight="1" thickBot="1" x14ac:dyDescent="0.3">
      <c r="B38" s="65" t="s">
        <v>1076</v>
      </c>
      <c r="C38" s="164">
        <v>897000</v>
      </c>
      <c r="D38" s="164">
        <v>899000</v>
      </c>
      <c r="E38" s="164">
        <v>899000</v>
      </c>
      <c r="F38" s="164">
        <v>899000</v>
      </c>
    </row>
    <row r="39" spans="2:6" ht="24.75" customHeight="1" thickBot="1" x14ac:dyDescent="0.3">
      <c r="B39" s="65" t="s">
        <v>28</v>
      </c>
      <c r="C39" s="164">
        <v>155000</v>
      </c>
      <c r="D39" s="164">
        <v>153000</v>
      </c>
      <c r="E39" s="164">
        <v>153000</v>
      </c>
      <c r="F39" s="164">
        <v>153000</v>
      </c>
    </row>
    <row r="40" spans="2:6" ht="30.75" customHeight="1" thickBot="1" x14ac:dyDescent="0.3">
      <c r="B40" s="65" t="s">
        <v>30</v>
      </c>
      <c r="C40" s="165">
        <v>422000</v>
      </c>
      <c r="D40" s="164">
        <v>422000</v>
      </c>
      <c r="E40" s="164">
        <v>478000</v>
      </c>
      <c r="F40" s="164">
        <v>483000</v>
      </c>
    </row>
    <row r="41" spans="2:6" ht="16.5" customHeight="1" thickBot="1" x14ac:dyDescent="0.3">
      <c r="B41" s="65" t="s">
        <v>32</v>
      </c>
      <c r="C41" s="165"/>
      <c r="D41" s="164"/>
      <c r="E41" s="164"/>
      <c r="F41" s="164"/>
    </row>
    <row r="42" spans="2:6" ht="18.75" customHeight="1" thickBot="1" x14ac:dyDescent="0.3">
      <c r="B42" s="65" t="s">
        <v>34</v>
      </c>
      <c r="C42" s="165"/>
      <c r="D42" s="164"/>
      <c r="E42" s="164"/>
      <c r="F42" s="164"/>
    </row>
    <row r="43" spans="2:6" ht="22.5" customHeight="1" thickBot="1" x14ac:dyDescent="0.3">
      <c r="B43" s="65" t="s">
        <v>36</v>
      </c>
      <c r="C43" s="165"/>
      <c r="D43" s="164"/>
      <c r="E43" s="164"/>
      <c r="F43" s="164"/>
    </row>
    <row r="44" spans="2:6" ht="30" customHeight="1" thickBot="1" x14ac:dyDescent="0.3">
      <c r="B44" s="65" t="s">
        <v>38</v>
      </c>
      <c r="C44" s="165">
        <v>20000</v>
      </c>
      <c r="D44" s="164">
        <v>26000</v>
      </c>
      <c r="E44" s="164">
        <v>20000</v>
      </c>
      <c r="F44" s="164">
        <v>20000</v>
      </c>
    </row>
    <row r="45" spans="2:6" ht="27.75" customHeight="1" thickBot="1" x14ac:dyDescent="0.3">
      <c r="B45" s="66" t="s">
        <v>40</v>
      </c>
      <c r="C45" s="165">
        <v>1494000</v>
      </c>
      <c r="D45" s="165">
        <v>1500000</v>
      </c>
      <c r="E45" s="165">
        <v>1550000</v>
      </c>
      <c r="F45" s="165">
        <v>1555000</v>
      </c>
    </row>
    <row r="46" spans="2:6" ht="15.75" thickBot="1" x14ac:dyDescent="0.3">
      <c r="B46" s="655" t="s">
        <v>41</v>
      </c>
      <c r="C46" s="167">
        <v>0</v>
      </c>
      <c r="D46" s="167">
        <v>0</v>
      </c>
      <c r="E46" s="167">
        <v>0</v>
      </c>
      <c r="F46" s="167">
        <v>0</v>
      </c>
    </row>
    <row r="47" spans="2:6" ht="25.5" customHeight="1" thickBot="1" x14ac:dyDescent="0.3">
      <c r="B47" s="195" t="s">
        <v>1077</v>
      </c>
      <c r="C47" s="992" t="s">
        <v>106</v>
      </c>
      <c r="D47" s="993"/>
      <c r="E47" s="993"/>
      <c r="F47" s="994"/>
    </row>
    <row r="48" spans="2:6" ht="15.75" thickBot="1" x14ac:dyDescent="0.3">
      <c r="B48" s="62" t="s">
        <v>17</v>
      </c>
      <c r="C48" s="983" t="s">
        <v>106</v>
      </c>
      <c r="D48" s="984"/>
      <c r="E48" s="984"/>
      <c r="F48" s="985"/>
    </row>
    <row r="49" spans="2:6" ht="15.75" thickBot="1" x14ac:dyDescent="0.3">
      <c r="B49" s="62" t="s">
        <v>18</v>
      </c>
      <c r="C49" s="995" t="s">
        <v>106</v>
      </c>
      <c r="D49" s="996"/>
      <c r="E49" s="996"/>
      <c r="F49" s="997"/>
    </row>
    <row r="50" spans="2:6" ht="15.75" thickBot="1" x14ac:dyDescent="0.3">
      <c r="B50" s="62" t="s">
        <v>19</v>
      </c>
      <c r="C50" s="161"/>
      <c r="D50" s="161"/>
      <c r="E50" s="161"/>
      <c r="F50" s="161"/>
    </row>
    <row r="51" spans="2:6" x14ac:dyDescent="0.25">
      <c r="B51" s="998"/>
      <c r="C51" s="63">
        <v>2018</v>
      </c>
      <c r="D51" s="63">
        <v>2019</v>
      </c>
      <c r="E51" s="63">
        <v>2020</v>
      </c>
      <c r="F51" s="63">
        <v>2021</v>
      </c>
    </row>
    <row r="52" spans="2:6" ht="15.75" thickBot="1" x14ac:dyDescent="0.3">
      <c r="B52" s="999"/>
      <c r="C52" s="64" t="s">
        <v>10</v>
      </c>
      <c r="D52" s="64" t="s">
        <v>11</v>
      </c>
      <c r="E52" s="64" t="s">
        <v>11</v>
      </c>
      <c r="F52" s="64" t="s">
        <v>11</v>
      </c>
    </row>
    <row r="53" spans="2:6" ht="15.75" thickBot="1" x14ac:dyDescent="0.3">
      <c r="B53" s="62" t="s">
        <v>20</v>
      </c>
      <c r="C53" s="161"/>
      <c r="D53" s="161"/>
      <c r="E53" s="161"/>
      <c r="F53" s="161"/>
    </row>
    <row r="54" spans="2:6" ht="15.75" thickBot="1" x14ac:dyDescent="0.3">
      <c r="B54" s="62" t="s">
        <v>21</v>
      </c>
      <c r="C54" s="161" t="e">
        <v>#DIV/0!</v>
      </c>
      <c r="D54" s="161" t="e">
        <v>#DIV/0!</v>
      </c>
      <c r="E54" s="161" t="e">
        <v>#DIV/0!</v>
      </c>
      <c r="F54" s="161" t="e">
        <v>#DIV/0!</v>
      </c>
    </row>
    <row r="55" spans="2:6" ht="15.75" thickBot="1" x14ac:dyDescent="0.3">
      <c r="B55" s="62" t="s">
        <v>22</v>
      </c>
      <c r="C55" s="636"/>
      <c r="D55" s="162" t="e">
        <v>#DIV/0!</v>
      </c>
      <c r="E55" s="162" t="e">
        <v>#DIV/0!</v>
      </c>
      <c r="F55" s="162" t="e">
        <v>#DIV/0!</v>
      </c>
    </row>
    <row r="56" spans="2:6" ht="15.75" thickBot="1" x14ac:dyDescent="0.3">
      <c r="B56" s="62" t="s">
        <v>24</v>
      </c>
      <c r="C56" s="636"/>
      <c r="D56" s="162" t="e">
        <v>#DIV/0!</v>
      </c>
      <c r="E56" s="162" t="e">
        <v>#DIV/0!</v>
      </c>
      <c r="F56" s="162" t="e">
        <v>#DIV/0!</v>
      </c>
    </row>
    <row r="57" spans="2:6" ht="15.75" thickBot="1" x14ac:dyDescent="0.3">
      <c r="B57" s="62" t="s">
        <v>25</v>
      </c>
      <c r="C57" s="636"/>
      <c r="D57" s="162" t="e">
        <v>#DIV/0!</v>
      </c>
      <c r="E57" s="162" t="e">
        <v>#DIV/0!</v>
      </c>
      <c r="F57" s="162" t="e">
        <v>#DIV/0!</v>
      </c>
    </row>
    <row r="58" spans="2:6" ht="15.75" thickBot="1" x14ac:dyDescent="0.3">
      <c r="B58" s="1000" t="s">
        <v>1078</v>
      </c>
      <c r="C58" s="1001"/>
      <c r="D58" s="1001"/>
      <c r="E58" s="1001"/>
      <c r="F58" s="1002"/>
    </row>
    <row r="59" spans="2:6" x14ac:dyDescent="0.25">
      <c r="B59" s="998"/>
      <c r="C59" s="63">
        <v>2018</v>
      </c>
      <c r="D59" s="63">
        <v>2019</v>
      </c>
      <c r="E59" s="63">
        <v>2020</v>
      </c>
      <c r="F59" s="63">
        <v>2021</v>
      </c>
    </row>
    <row r="60" spans="2:6" ht="15.75" thickBot="1" x14ac:dyDescent="0.3">
      <c r="B60" s="999"/>
      <c r="C60" s="64" t="s">
        <v>10</v>
      </c>
      <c r="D60" s="64" t="s">
        <v>11</v>
      </c>
      <c r="E60" s="64" t="s">
        <v>11</v>
      </c>
      <c r="F60" s="64" t="s">
        <v>11</v>
      </c>
    </row>
    <row r="61" spans="2:6" ht="15.75" thickBot="1" x14ac:dyDescent="0.3">
      <c r="B61" s="65" t="s">
        <v>26</v>
      </c>
      <c r="C61" s="164"/>
      <c r="D61" s="164"/>
      <c r="E61" s="164"/>
      <c r="F61" s="164"/>
    </row>
    <row r="62" spans="2:6" ht="33.75" customHeight="1" thickBot="1" x14ac:dyDescent="0.3">
      <c r="B62" s="65" t="s">
        <v>28</v>
      </c>
      <c r="C62" s="164"/>
      <c r="D62" s="164"/>
      <c r="E62" s="164"/>
      <c r="F62" s="164"/>
    </row>
    <row r="63" spans="2:6" ht="32.25" customHeight="1" thickBot="1" x14ac:dyDescent="0.3">
      <c r="B63" s="65" t="s">
        <v>30</v>
      </c>
      <c r="C63" s="165"/>
      <c r="D63" s="164"/>
      <c r="E63" s="164"/>
      <c r="F63" s="164"/>
    </row>
    <row r="64" spans="2:6" ht="23.25" customHeight="1" thickBot="1" x14ac:dyDescent="0.3">
      <c r="B64" s="65" t="s">
        <v>32</v>
      </c>
      <c r="C64" s="165"/>
      <c r="D64" s="164"/>
      <c r="E64" s="164"/>
      <c r="F64" s="164"/>
    </row>
    <row r="65" spans="2:6" ht="21" customHeight="1" thickBot="1" x14ac:dyDescent="0.3">
      <c r="B65" s="65" t="s">
        <v>34</v>
      </c>
      <c r="C65" s="165"/>
      <c r="D65" s="164"/>
      <c r="E65" s="164"/>
      <c r="F65" s="164"/>
    </row>
    <row r="66" spans="2:6" ht="15.75" thickBot="1" x14ac:dyDescent="0.3">
      <c r="B66" s="65" t="s">
        <v>36</v>
      </c>
      <c r="C66" s="165"/>
      <c r="D66" s="164"/>
      <c r="E66" s="164"/>
      <c r="F66" s="164"/>
    </row>
    <row r="67" spans="2:6" ht="33" customHeight="1" thickBot="1" x14ac:dyDescent="0.3">
      <c r="B67" s="65" t="s">
        <v>38</v>
      </c>
      <c r="C67" s="165"/>
      <c r="D67" s="164"/>
      <c r="E67" s="164"/>
      <c r="F67" s="164"/>
    </row>
    <row r="68" spans="2:6" ht="29.25" customHeight="1" thickBot="1" x14ac:dyDescent="0.3">
      <c r="B68" s="196" t="s">
        <v>74</v>
      </c>
      <c r="C68" s="165">
        <v>0</v>
      </c>
      <c r="D68" s="165">
        <v>0</v>
      </c>
      <c r="E68" s="165">
        <v>0</v>
      </c>
      <c r="F68" s="165">
        <v>0</v>
      </c>
    </row>
    <row r="69" spans="2:6" ht="15.75" thickBot="1" x14ac:dyDescent="0.3">
      <c r="B69" s="166" t="s">
        <v>41</v>
      </c>
      <c r="C69" s="167">
        <v>0</v>
      </c>
      <c r="D69" s="167">
        <v>0</v>
      </c>
      <c r="E69" s="167">
        <v>0</v>
      </c>
      <c r="F69" s="167">
        <v>0</v>
      </c>
    </row>
    <row r="70" spans="2:6" ht="15.75" thickBot="1" x14ac:dyDescent="0.3">
      <c r="B70" s="989" t="s">
        <v>63</v>
      </c>
      <c r="C70" s="990"/>
      <c r="D70" s="990"/>
      <c r="E70" s="990"/>
      <c r="F70" s="991"/>
    </row>
    <row r="71" spans="2:6" ht="15.75" thickBot="1" x14ac:dyDescent="0.3">
      <c r="B71" s="989" t="s">
        <v>56</v>
      </c>
      <c r="C71" s="990"/>
      <c r="D71" s="990"/>
      <c r="E71" s="990"/>
      <c r="F71" s="991"/>
    </row>
    <row r="72" spans="2:6" ht="15.75" thickBot="1" x14ac:dyDescent="0.3">
      <c r="B72" s="67" t="s">
        <v>79</v>
      </c>
      <c r="C72" s="1009" t="s">
        <v>1062</v>
      </c>
      <c r="D72" s="1010"/>
      <c r="E72" s="1010"/>
      <c r="F72" s="1011"/>
    </row>
    <row r="73" spans="2:6" ht="15.75" thickBot="1" x14ac:dyDescent="0.3">
      <c r="B73" s="160" t="s">
        <v>16</v>
      </c>
      <c r="C73" s="992" t="s">
        <v>1058</v>
      </c>
      <c r="D73" s="993"/>
      <c r="E73" s="993"/>
      <c r="F73" s="994"/>
    </row>
    <row r="74" spans="2:6" ht="54" customHeight="1" thickBot="1" x14ac:dyDescent="0.3">
      <c r="B74" s="62" t="s">
        <v>17</v>
      </c>
      <c r="C74" s="983" t="s">
        <v>1059</v>
      </c>
      <c r="D74" s="984"/>
      <c r="E74" s="984"/>
      <c r="F74" s="985"/>
    </row>
    <row r="75" spans="2:6" ht="15.75" thickBot="1" x14ac:dyDescent="0.3">
      <c r="B75" s="62" t="s">
        <v>18</v>
      </c>
      <c r="C75" s="995" t="s">
        <v>1060</v>
      </c>
      <c r="D75" s="996"/>
      <c r="E75" s="996"/>
      <c r="F75" s="997"/>
    </row>
    <row r="76" spans="2:6" x14ac:dyDescent="0.25">
      <c r="B76" s="998"/>
      <c r="C76" s="63">
        <v>2018</v>
      </c>
      <c r="D76" s="63">
        <v>2019</v>
      </c>
      <c r="E76" s="63">
        <v>2020</v>
      </c>
      <c r="F76" s="63">
        <v>2021</v>
      </c>
    </row>
    <row r="77" spans="2:6" ht="15.75" thickBot="1" x14ac:dyDescent="0.3">
      <c r="B77" s="999"/>
      <c r="C77" s="64" t="s">
        <v>10</v>
      </c>
      <c r="D77" s="64" t="s">
        <v>11</v>
      </c>
      <c r="E77" s="64" t="s">
        <v>11</v>
      </c>
      <c r="F77" s="64" t="s">
        <v>11</v>
      </c>
    </row>
    <row r="78" spans="2:6" ht="15.75" thickBot="1" x14ac:dyDescent="0.3">
      <c r="B78" s="62" t="s">
        <v>19</v>
      </c>
      <c r="C78" s="161" t="s">
        <v>1063</v>
      </c>
      <c r="D78" s="161" t="s">
        <v>1063</v>
      </c>
      <c r="E78" s="161" t="s">
        <v>1063</v>
      </c>
      <c r="F78" s="161" t="s">
        <v>1063</v>
      </c>
    </row>
    <row r="79" spans="2:6" ht="15.75" thickBot="1" x14ac:dyDescent="0.3">
      <c r="B79" s="62" t="s">
        <v>20</v>
      </c>
      <c r="C79" s="161">
        <v>960</v>
      </c>
      <c r="D79" s="161">
        <v>958</v>
      </c>
      <c r="E79" s="161">
        <v>960</v>
      </c>
      <c r="F79" s="161">
        <v>956</v>
      </c>
    </row>
    <row r="80" spans="2:6" ht="15.75" thickBot="1" x14ac:dyDescent="0.3">
      <c r="B80" s="62" t="s">
        <v>21</v>
      </c>
      <c r="C80" s="161" t="s">
        <v>1061</v>
      </c>
      <c r="D80" s="161" t="s">
        <v>1061</v>
      </c>
      <c r="E80" s="161" t="s">
        <v>1061</v>
      </c>
      <c r="F80" s="161" t="s">
        <v>1061</v>
      </c>
    </row>
    <row r="81" spans="2:6" ht="15.75" thickBot="1" x14ac:dyDescent="0.3">
      <c r="B81" s="62" t="s">
        <v>22</v>
      </c>
      <c r="C81" s="636" t="s">
        <v>23</v>
      </c>
      <c r="D81" s="162">
        <v>1.0000000000000009E-2</v>
      </c>
      <c r="E81" s="162">
        <v>1.0000000000000009E-2</v>
      </c>
      <c r="F81" s="162">
        <v>1.0000000000000009E-2</v>
      </c>
    </row>
    <row r="82" spans="2:6" ht="15.75" thickBot="1" x14ac:dyDescent="0.3">
      <c r="B82" s="62" t="s">
        <v>24</v>
      </c>
      <c r="C82" s="636" t="s">
        <v>23</v>
      </c>
      <c r="D82" s="162">
        <v>-2.0833333333333259E-3</v>
      </c>
      <c r="E82" s="162">
        <v>2.0876826722338038E-3</v>
      </c>
      <c r="F82" s="162">
        <v>-4.1666666666666519E-3</v>
      </c>
    </row>
    <row r="83" spans="2:6" ht="15.75" thickBot="1" x14ac:dyDescent="0.3">
      <c r="B83" s="62" t="s">
        <v>25</v>
      </c>
      <c r="C83" s="636" t="s">
        <v>23</v>
      </c>
      <c r="D83" s="162">
        <v>-1.19636963696369E-2</v>
      </c>
      <c r="E83" s="162">
        <v>-7.8339775522436872E-3</v>
      </c>
      <c r="F83" s="162">
        <v>-1.4026402640264113E-2</v>
      </c>
    </row>
    <row r="84" spans="2:6" ht="15.75" thickBot="1" x14ac:dyDescent="0.3">
      <c r="B84" s="67" t="s">
        <v>79</v>
      </c>
      <c r="C84" s="1009" t="s">
        <v>1064</v>
      </c>
      <c r="D84" s="1010"/>
      <c r="E84" s="1010"/>
      <c r="F84" s="1011"/>
    </row>
    <row r="85" spans="2:6" ht="15.75" thickBot="1" x14ac:dyDescent="0.3">
      <c r="B85" s="160" t="s">
        <v>16</v>
      </c>
      <c r="C85" s="992" t="s">
        <v>1058</v>
      </c>
      <c r="D85" s="993"/>
      <c r="E85" s="993"/>
      <c r="F85" s="994"/>
    </row>
    <row r="86" spans="2:6" ht="48" customHeight="1" thickBot="1" x14ac:dyDescent="0.3">
      <c r="B86" s="62" t="s">
        <v>17</v>
      </c>
      <c r="C86" s="983" t="s">
        <v>1059</v>
      </c>
      <c r="D86" s="984"/>
      <c r="E86" s="984"/>
      <c r="F86" s="985"/>
    </row>
    <row r="87" spans="2:6" ht="15.75" thickBot="1" x14ac:dyDescent="0.3">
      <c r="B87" s="62" t="s">
        <v>18</v>
      </c>
      <c r="C87" s="995" t="s">
        <v>1060</v>
      </c>
      <c r="D87" s="996"/>
      <c r="E87" s="996"/>
      <c r="F87" s="997"/>
    </row>
    <row r="88" spans="2:6" x14ac:dyDescent="0.25">
      <c r="B88" s="998"/>
      <c r="C88" s="63">
        <v>2018</v>
      </c>
      <c r="D88" s="63">
        <v>2019</v>
      </c>
      <c r="E88" s="63">
        <v>2020</v>
      </c>
      <c r="F88" s="63">
        <v>2021</v>
      </c>
    </row>
    <row r="89" spans="2:6" ht="15.75" thickBot="1" x14ac:dyDescent="0.3">
      <c r="B89" s="999"/>
      <c r="C89" s="64" t="s">
        <v>10</v>
      </c>
      <c r="D89" s="64" t="s">
        <v>11</v>
      </c>
      <c r="E89" s="64" t="s">
        <v>11</v>
      </c>
      <c r="F89" s="64" t="s">
        <v>11</v>
      </c>
    </row>
    <row r="90" spans="2:6" ht="15.75" thickBot="1" x14ac:dyDescent="0.3">
      <c r="B90" s="62" t="s">
        <v>19</v>
      </c>
      <c r="C90" s="161" t="s">
        <v>1061</v>
      </c>
      <c r="D90" s="161" t="s">
        <v>1061</v>
      </c>
      <c r="E90" s="161" t="s">
        <v>1061</v>
      </c>
      <c r="F90" s="161" t="s">
        <v>1061</v>
      </c>
    </row>
    <row r="91" spans="2:6" ht="15.75" thickBot="1" x14ac:dyDescent="0.3">
      <c r="B91" s="62" t="s">
        <v>20</v>
      </c>
      <c r="C91" s="161">
        <v>860</v>
      </c>
      <c r="D91" s="161">
        <v>933</v>
      </c>
      <c r="E91" s="161">
        <v>860</v>
      </c>
      <c r="F91" s="161">
        <v>1028</v>
      </c>
    </row>
    <row r="92" spans="2:6" ht="15.75" thickBot="1" x14ac:dyDescent="0.3">
      <c r="B92" s="62" t="s">
        <v>21</v>
      </c>
      <c r="C92" s="161" t="s">
        <v>1061</v>
      </c>
      <c r="D92" s="161" t="s">
        <v>1061</v>
      </c>
      <c r="E92" s="161" t="s">
        <v>1061</v>
      </c>
      <c r="F92" s="161" t="s">
        <v>1061</v>
      </c>
    </row>
    <row r="93" spans="2:6" ht="15.75" thickBot="1" x14ac:dyDescent="0.3">
      <c r="B93" s="62" t="s">
        <v>22</v>
      </c>
      <c r="C93" s="636" t="s">
        <v>23</v>
      </c>
      <c r="D93" s="162">
        <v>1.0000000000000009E-2</v>
      </c>
      <c r="E93" s="162">
        <v>1.0000000000000009E-2</v>
      </c>
      <c r="F93" s="162">
        <v>1.0000000000000009E-2</v>
      </c>
    </row>
    <row r="94" spans="2:6" ht="15.75" thickBot="1" x14ac:dyDescent="0.3">
      <c r="B94" s="62" t="s">
        <v>24</v>
      </c>
      <c r="C94" s="636" t="s">
        <v>23</v>
      </c>
      <c r="D94" s="162">
        <v>8.4883720930232665E-2</v>
      </c>
      <c r="E94" s="162">
        <v>-7.8242229367631255E-2</v>
      </c>
      <c r="F94" s="162">
        <v>0.19534883720930241</v>
      </c>
    </row>
    <row r="95" spans="2:6" ht="15.75" thickBot="1" x14ac:dyDescent="0.3">
      <c r="B95" s="62" t="s">
        <v>25</v>
      </c>
      <c r="C95" s="636" t="s">
        <v>23</v>
      </c>
      <c r="D95" s="162">
        <v>7.4142297950725355E-2</v>
      </c>
      <c r="E95" s="162">
        <v>-8.7368543928347919E-2</v>
      </c>
      <c r="F95" s="162">
        <v>0.18351370020723001</v>
      </c>
    </row>
    <row r="96" spans="2:6" ht="27.75" customHeight="1" thickBot="1" x14ac:dyDescent="0.3">
      <c r="B96" s="67" t="s">
        <v>79</v>
      </c>
      <c r="C96" s="1012" t="s">
        <v>1065</v>
      </c>
      <c r="D96" s="1013"/>
      <c r="E96" s="1013"/>
      <c r="F96" s="1014"/>
    </row>
    <row r="97" spans="2:6" ht="15.75" thickBot="1" x14ac:dyDescent="0.3">
      <c r="B97" s="160" t="s">
        <v>16</v>
      </c>
      <c r="C97" s="992" t="s">
        <v>1058</v>
      </c>
      <c r="D97" s="993"/>
      <c r="E97" s="993"/>
      <c r="F97" s="994"/>
    </row>
    <row r="98" spans="2:6" ht="47.25" customHeight="1" thickBot="1" x14ac:dyDescent="0.3">
      <c r="B98" s="62" t="s">
        <v>17</v>
      </c>
      <c r="C98" s="983" t="s">
        <v>1059</v>
      </c>
      <c r="D98" s="984"/>
      <c r="E98" s="984"/>
      <c r="F98" s="985"/>
    </row>
    <row r="99" spans="2:6" ht="15.75" thickBot="1" x14ac:dyDescent="0.3">
      <c r="B99" s="62" t="s">
        <v>18</v>
      </c>
      <c r="C99" s="995" t="s">
        <v>1060</v>
      </c>
      <c r="D99" s="996"/>
      <c r="E99" s="996"/>
      <c r="F99" s="997"/>
    </row>
    <row r="100" spans="2:6" x14ac:dyDescent="0.25">
      <c r="B100" s="998"/>
      <c r="C100" s="63">
        <v>2018</v>
      </c>
      <c r="D100" s="63">
        <v>2019</v>
      </c>
      <c r="E100" s="63">
        <v>2020</v>
      </c>
      <c r="F100" s="63">
        <v>2021</v>
      </c>
    </row>
    <row r="101" spans="2:6" ht="15.75" thickBot="1" x14ac:dyDescent="0.3">
      <c r="B101" s="999"/>
      <c r="C101" s="64" t="s">
        <v>10</v>
      </c>
      <c r="D101" s="64" t="s">
        <v>11</v>
      </c>
      <c r="E101" s="64" t="s">
        <v>11</v>
      </c>
      <c r="F101" s="64" t="s">
        <v>11</v>
      </c>
    </row>
    <row r="102" spans="2:6" ht="15.75" thickBot="1" x14ac:dyDescent="0.3">
      <c r="B102" s="62" t="s">
        <v>19</v>
      </c>
      <c r="C102" s="161" t="s">
        <v>1061</v>
      </c>
      <c r="D102" s="161" t="s">
        <v>1061</v>
      </c>
      <c r="E102" s="161" t="s">
        <v>1061</v>
      </c>
      <c r="F102" s="161" t="s">
        <v>1061</v>
      </c>
    </row>
    <row r="103" spans="2:6" ht="15.75" thickBot="1" x14ac:dyDescent="0.3">
      <c r="B103" s="62" t="s">
        <v>20</v>
      </c>
      <c r="C103" s="161">
        <v>4600</v>
      </c>
      <c r="D103" s="161">
        <v>7600</v>
      </c>
      <c r="E103" s="161">
        <v>10470</v>
      </c>
      <c r="F103" s="161">
        <v>10110</v>
      </c>
    </row>
    <row r="104" spans="2:6" ht="15.75" thickBot="1" x14ac:dyDescent="0.3">
      <c r="B104" s="62" t="s">
        <v>21</v>
      </c>
      <c r="C104" s="161" t="s">
        <v>1061</v>
      </c>
      <c r="D104" s="161" t="s">
        <v>1061</v>
      </c>
      <c r="E104" s="161" t="s">
        <v>1061</v>
      </c>
      <c r="F104" s="161" t="s">
        <v>1061</v>
      </c>
    </row>
    <row r="105" spans="2:6" ht="15.75" thickBot="1" x14ac:dyDescent="0.3">
      <c r="B105" s="62" t="s">
        <v>22</v>
      </c>
      <c r="C105" s="636" t="s">
        <v>23</v>
      </c>
      <c r="D105" s="162">
        <v>1.0000000000000009E-2</v>
      </c>
      <c r="E105" s="162">
        <v>1.0000000000000009E-2</v>
      </c>
      <c r="F105" s="162">
        <v>1.0000000000000009E-2</v>
      </c>
    </row>
    <row r="106" spans="2:6" ht="15.75" thickBot="1" x14ac:dyDescent="0.3">
      <c r="B106" s="62" t="s">
        <v>24</v>
      </c>
      <c r="C106" s="636" t="s">
        <v>23</v>
      </c>
      <c r="D106" s="162">
        <v>0.65217391304347827</v>
      </c>
      <c r="E106" s="162">
        <v>0.37763157894736832</v>
      </c>
      <c r="F106" s="162">
        <v>-3.4383954154727836E-2</v>
      </c>
    </row>
    <row r="107" spans="2:6" ht="15.75" thickBot="1" x14ac:dyDescent="0.3">
      <c r="B107" s="62" t="s">
        <v>25</v>
      </c>
      <c r="C107" s="636" t="s">
        <v>23</v>
      </c>
      <c r="D107" s="162">
        <v>0.63581575548859259</v>
      </c>
      <c r="E107" s="162">
        <v>0.36399166232412705</v>
      </c>
      <c r="F107" s="162">
        <v>-4.3944509064086978E-2</v>
      </c>
    </row>
    <row r="108" spans="2:6" ht="32.25" customHeight="1" thickBot="1" x14ac:dyDescent="0.3">
      <c r="B108" s="67" t="s">
        <v>79</v>
      </c>
      <c r="C108" s="1012" t="s">
        <v>1066</v>
      </c>
      <c r="D108" s="1013"/>
      <c r="E108" s="1013"/>
      <c r="F108" s="1014"/>
    </row>
    <row r="109" spans="2:6" ht="15.75" thickBot="1" x14ac:dyDescent="0.3">
      <c r="B109" s="160" t="s">
        <v>16</v>
      </c>
      <c r="C109" s="992" t="s">
        <v>1058</v>
      </c>
      <c r="D109" s="993"/>
      <c r="E109" s="993"/>
      <c r="F109" s="994"/>
    </row>
    <row r="110" spans="2:6" ht="69.75" customHeight="1" thickBot="1" x14ac:dyDescent="0.3">
      <c r="B110" s="62" t="s">
        <v>17</v>
      </c>
      <c r="C110" s="983" t="s">
        <v>1059</v>
      </c>
      <c r="D110" s="984"/>
      <c r="E110" s="984"/>
      <c r="F110" s="985"/>
    </row>
    <row r="111" spans="2:6" ht="15.75" thickBot="1" x14ac:dyDescent="0.3">
      <c r="B111" s="62" t="s">
        <v>18</v>
      </c>
      <c r="C111" s="995" t="s">
        <v>1060</v>
      </c>
      <c r="D111" s="996"/>
      <c r="E111" s="996"/>
      <c r="F111" s="997"/>
    </row>
    <row r="112" spans="2:6" x14ac:dyDescent="0.25">
      <c r="B112" s="998"/>
      <c r="C112" s="63">
        <v>2018</v>
      </c>
      <c r="D112" s="63">
        <v>2019</v>
      </c>
      <c r="E112" s="63">
        <v>2020</v>
      </c>
      <c r="F112" s="63">
        <v>2021</v>
      </c>
    </row>
    <row r="113" spans="2:6" ht="15.75" thickBot="1" x14ac:dyDescent="0.3">
      <c r="B113" s="999"/>
      <c r="C113" s="64" t="s">
        <v>10</v>
      </c>
      <c r="D113" s="64" t="s">
        <v>11</v>
      </c>
      <c r="E113" s="64" t="s">
        <v>11</v>
      </c>
      <c r="F113" s="64" t="s">
        <v>11</v>
      </c>
    </row>
    <row r="114" spans="2:6" ht="15.75" thickBot="1" x14ac:dyDescent="0.3">
      <c r="B114" s="62" t="s">
        <v>19</v>
      </c>
      <c r="C114" s="161" t="s">
        <v>1061</v>
      </c>
      <c r="D114" s="161" t="s">
        <v>1061</v>
      </c>
      <c r="E114" s="161" t="s">
        <v>1061</v>
      </c>
      <c r="F114" s="161" t="s">
        <v>1061</v>
      </c>
    </row>
    <row r="115" spans="2:6" ht="15.75" thickBot="1" x14ac:dyDescent="0.3">
      <c r="B115" s="62" t="s">
        <v>20</v>
      </c>
      <c r="C115" s="161"/>
      <c r="D115" s="161">
        <v>400</v>
      </c>
      <c r="E115" s="161">
        <v>200</v>
      </c>
      <c r="F115" s="161"/>
    </row>
    <row r="116" spans="2:6" ht="15.75" thickBot="1" x14ac:dyDescent="0.3">
      <c r="B116" s="62" t="s">
        <v>21</v>
      </c>
      <c r="C116" s="161" t="s">
        <v>1061</v>
      </c>
      <c r="D116" s="161" t="s">
        <v>1061</v>
      </c>
      <c r="E116" s="161" t="s">
        <v>1061</v>
      </c>
      <c r="F116" s="161" t="s">
        <v>1061</v>
      </c>
    </row>
    <row r="117" spans="2:6" ht="15.75" thickBot="1" x14ac:dyDescent="0.3">
      <c r="B117" s="62" t="s">
        <v>22</v>
      </c>
      <c r="C117" s="636" t="s">
        <v>23</v>
      </c>
      <c r="D117" s="162">
        <v>1.0000000000000009E-2</v>
      </c>
      <c r="E117" s="162">
        <v>1.0000000000000009E-2</v>
      </c>
      <c r="F117" s="162">
        <v>1.0000000000000009E-2</v>
      </c>
    </row>
    <row r="118" spans="2:6" ht="15.75" thickBot="1" x14ac:dyDescent="0.3">
      <c r="B118" s="62" t="s">
        <v>24</v>
      </c>
      <c r="C118" s="636" t="s">
        <v>23</v>
      </c>
      <c r="D118" s="162" t="e">
        <v>#DIV/0!</v>
      </c>
      <c r="E118" s="162">
        <v>-0.5</v>
      </c>
      <c r="F118" s="162">
        <v>-1</v>
      </c>
    </row>
    <row r="119" spans="2:6" ht="15.75" thickBot="1" x14ac:dyDescent="0.3">
      <c r="B119" s="62" t="s">
        <v>25</v>
      </c>
      <c r="C119" s="636" t="s">
        <v>23</v>
      </c>
      <c r="D119" s="162" t="e">
        <v>#DIV/0!</v>
      </c>
      <c r="E119" s="162">
        <v>-0.50495049504950495</v>
      </c>
      <c r="F119" s="162">
        <v>-1</v>
      </c>
    </row>
    <row r="120" spans="2:6" ht="15.75" thickBot="1" x14ac:dyDescent="0.3">
      <c r="B120" s="1000" t="s">
        <v>1075</v>
      </c>
      <c r="C120" s="1001"/>
      <c r="D120" s="1001"/>
      <c r="E120" s="1001"/>
      <c r="F120" s="1002"/>
    </row>
    <row r="121" spans="2:6" x14ac:dyDescent="0.25">
      <c r="B121" s="998"/>
      <c r="C121" s="63">
        <v>2018</v>
      </c>
      <c r="D121" s="63">
        <v>2019</v>
      </c>
      <c r="E121" s="63">
        <v>2020</v>
      </c>
      <c r="F121" s="63">
        <v>2021</v>
      </c>
    </row>
    <row r="122" spans="2:6" ht="15.75" thickBot="1" x14ac:dyDescent="0.3">
      <c r="B122" s="999"/>
      <c r="C122" s="64" t="s">
        <v>10</v>
      </c>
      <c r="D122" s="64" t="s">
        <v>11</v>
      </c>
      <c r="E122" s="64" t="s">
        <v>11</v>
      </c>
      <c r="F122" s="64" t="s">
        <v>11</v>
      </c>
    </row>
    <row r="123" spans="2:6" ht="15.75" thickBot="1" x14ac:dyDescent="0.3">
      <c r="B123" s="65" t="s">
        <v>58</v>
      </c>
      <c r="C123" s="164"/>
      <c r="D123" s="164"/>
      <c r="E123" s="164"/>
      <c r="F123" s="164"/>
    </row>
    <row r="124" spans="2:6" ht="15.75" thickBot="1" x14ac:dyDescent="0.3">
      <c r="B124" s="65" t="s">
        <v>59</v>
      </c>
      <c r="C124" s="165">
        <v>6420</v>
      </c>
      <c r="D124" s="165">
        <v>9891</v>
      </c>
      <c r="E124" s="165">
        <v>12490</v>
      </c>
      <c r="F124" s="165">
        <v>12094</v>
      </c>
    </row>
    <row r="125" spans="2:6" ht="15.75" thickBot="1" x14ac:dyDescent="0.3">
      <c r="B125" s="66" t="s">
        <v>40</v>
      </c>
      <c r="C125" s="165">
        <v>6420</v>
      </c>
      <c r="D125" s="165">
        <v>9891</v>
      </c>
      <c r="E125" s="165">
        <v>12490</v>
      </c>
      <c r="F125" s="165">
        <v>12094</v>
      </c>
    </row>
    <row r="126" spans="2:6" ht="15" customHeight="1" x14ac:dyDescent="0.25">
      <c r="B126" s="1015" t="s">
        <v>60</v>
      </c>
      <c r="C126" s="1018" t="s">
        <v>1067</v>
      </c>
      <c r="D126" s="1019"/>
      <c r="E126" s="1019"/>
      <c r="F126" s="1020"/>
    </row>
    <row r="127" spans="2:6" x14ac:dyDescent="0.25">
      <c r="B127" s="1016"/>
      <c r="C127" s="1021"/>
      <c r="D127" s="1022"/>
      <c r="E127" s="1022"/>
      <c r="F127" s="1023"/>
    </row>
    <row r="128" spans="2:6" ht="37.5" customHeight="1" thickBot="1" x14ac:dyDescent="0.3">
      <c r="B128" s="1017"/>
      <c r="C128" s="1024"/>
      <c r="D128" s="1025"/>
      <c r="E128" s="1025"/>
      <c r="F128" s="1026"/>
    </row>
    <row r="129" spans="2:6" ht="24" customHeight="1" thickBot="1" x14ac:dyDescent="0.3">
      <c r="B129" s="67" t="s">
        <v>61</v>
      </c>
      <c r="C129" s="1009" t="s">
        <v>130</v>
      </c>
      <c r="D129" s="1010"/>
      <c r="E129" s="1010"/>
      <c r="F129" s="1011"/>
    </row>
    <row r="130" spans="2:6" ht="22.5" customHeight="1" thickBot="1" x14ac:dyDescent="0.3">
      <c r="B130" s="160" t="s">
        <v>129</v>
      </c>
      <c r="C130" s="992" t="s">
        <v>106</v>
      </c>
      <c r="D130" s="993"/>
      <c r="E130" s="993"/>
      <c r="F130" s="994"/>
    </row>
    <row r="131" spans="2:6" ht="15.75" thickBot="1" x14ac:dyDescent="0.3">
      <c r="B131" s="62" t="s">
        <v>17</v>
      </c>
      <c r="C131" s="983" t="s">
        <v>106</v>
      </c>
      <c r="D131" s="984"/>
      <c r="E131" s="984"/>
      <c r="F131" s="985"/>
    </row>
    <row r="132" spans="2:6" ht="15.75" thickBot="1" x14ac:dyDescent="0.3">
      <c r="B132" s="62" t="s">
        <v>18</v>
      </c>
      <c r="C132" s="995" t="s">
        <v>106</v>
      </c>
      <c r="D132" s="996"/>
      <c r="E132" s="996"/>
      <c r="F132" s="997"/>
    </row>
    <row r="133" spans="2:6" x14ac:dyDescent="0.25">
      <c r="B133" s="998"/>
      <c r="C133" s="63">
        <v>2018</v>
      </c>
      <c r="D133" s="63">
        <v>2019</v>
      </c>
      <c r="E133" s="63">
        <v>2020</v>
      </c>
      <c r="F133" s="63">
        <v>2021</v>
      </c>
    </row>
    <row r="134" spans="2:6" ht="15.75" thickBot="1" x14ac:dyDescent="0.3">
      <c r="B134" s="999"/>
      <c r="C134" s="64" t="s">
        <v>10</v>
      </c>
      <c r="D134" s="64" t="s">
        <v>11</v>
      </c>
      <c r="E134" s="64" t="s">
        <v>11</v>
      </c>
      <c r="F134" s="64" t="s">
        <v>11</v>
      </c>
    </row>
    <row r="135" spans="2:6" ht="15.75" thickBot="1" x14ac:dyDescent="0.3">
      <c r="B135" s="62" t="s">
        <v>19</v>
      </c>
      <c r="C135" s="161"/>
      <c r="D135" s="161"/>
      <c r="E135" s="161"/>
      <c r="F135" s="161"/>
    </row>
    <row r="136" spans="2:6" ht="15.75" thickBot="1" x14ac:dyDescent="0.3">
      <c r="B136" s="62" t="s">
        <v>20</v>
      </c>
      <c r="C136" s="161"/>
      <c r="D136" s="161"/>
      <c r="E136" s="161"/>
      <c r="F136" s="161"/>
    </row>
    <row r="137" spans="2:6" ht="15.75" thickBot="1" x14ac:dyDescent="0.3">
      <c r="B137" s="62" t="s">
        <v>21</v>
      </c>
      <c r="C137" s="161" t="e">
        <v>#DIV/0!</v>
      </c>
      <c r="D137" s="161" t="e">
        <v>#DIV/0!</v>
      </c>
      <c r="E137" s="161" t="e">
        <v>#DIV/0!</v>
      </c>
      <c r="F137" s="161" t="e">
        <v>#DIV/0!</v>
      </c>
    </row>
    <row r="138" spans="2:6" ht="15.75" thickBot="1" x14ac:dyDescent="0.3">
      <c r="B138" s="62" t="s">
        <v>22</v>
      </c>
      <c r="C138" s="636" t="s">
        <v>23</v>
      </c>
      <c r="D138" s="162" t="e">
        <v>#DIV/0!</v>
      </c>
      <c r="E138" s="162" t="e">
        <v>#DIV/0!</v>
      </c>
      <c r="F138" s="162" t="e">
        <v>#DIV/0!</v>
      </c>
    </row>
    <row r="139" spans="2:6" ht="15.75" thickBot="1" x14ac:dyDescent="0.3">
      <c r="B139" s="62" t="s">
        <v>24</v>
      </c>
      <c r="C139" s="636" t="s">
        <v>23</v>
      </c>
      <c r="D139" s="162" t="e">
        <v>#DIV/0!</v>
      </c>
      <c r="E139" s="162" t="e">
        <v>#DIV/0!</v>
      </c>
      <c r="F139" s="162" t="e">
        <v>#DIV/0!</v>
      </c>
    </row>
    <row r="140" spans="2:6" ht="15.75" thickBot="1" x14ac:dyDescent="0.3">
      <c r="B140" s="62" t="s">
        <v>25</v>
      </c>
      <c r="C140" s="636" t="s">
        <v>23</v>
      </c>
      <c r="D140" s="162" t="e">
        <v>#DIV/0!</v>
      </c>
      <c r="E140" s="162" t="e">
        <v>#DIV/0!</v>
      </c>
      <c r="F140" s="162" t="e">
        <v>#DIV/0!</v>
      </c>
    </row>
    <row r="141" spans="2:6" ht="15.75" thickBot="1" x14ac:dyDescent="0.3">
      <c r="B141" s="1000" t="s">
        <v>1079</v>
      </c>
      <c r="C141" s="1001"/>
      <c r="D141" s="1001"/>
      <c r="E141" s="1001"/>
      <c r="F141" s="1002"/>
    </row>
    <row r="142" spans="2:6" x14ac:dyDescent="0.25">
      <c r="B142" s="998"/>
      <c r="C142" s="63">
        <v>2018</v>
      </c>
      <c r="D142" s="63">
        <v>2019</v>
      </c>
      <c r="E142" s="63">
        <v>2020</v>
      </c>
      <c r="F142" s="63">
        <v>2021</v>
      </c>
    </row>
    <row r="143" spans="2:6" ht="15.75" thickBot="1" x14ac:dyDescent="0.3">
      <c r="B143" s="999"/>
      <c r="C143" s="64" t="s">
        <v>10</v>
      </c>
      <c r="D143" s="64" t="s">
        <v>11</v>
      </c>
      <c r="E143" s="64" t="s">
        <v>11</v>
      </c>
      <c r="F143" s="64" t="s">
        <v>11</v>
      </c>
    </row>
    <row r="144" spans="2:6" ht="28.5" customHeight="1" thickBot="1" x14ac:dyDescent="0.3">
      <c r="B144" s="65" t="s">
        <v>58</v>
      </c>
      <c r="C144" s="164"/>
      <c r="D144" s="164"/>
      <c r="E144" s="164"/>
      <c r="F144" s="164"/>
    </row>
    <row r="145" spans="2:6" ht="24.75" customHeight="1" thickBot="1" x14ac:dyDescent="0.3">
      <c r="B145" s="65" t="s">
        <v>59</v>
      </c>
      <c r="C145" s="165"/>
      <c r="D145" s="164"/>
      <c r="E145" s="164"/>
      <c r="F145" s="164"/>
    </row>
    <row r="146" spans="2:6" ht="30" customHeight="1" thickBot="1" x14ac:dyDescent="0.3">
      <c r="B146" s="66" t="s">
        <v>74</v>
      </c>
      <c r="C146" s="165">
        <v>0</v>
      </c>
      <c r="D146" s="165">
        <v>0</v>
      </c>
      <c r="E146" s="165">
        <v>0</v>
      </c>
      <c r="F146" s="165">
        <v>0</v>
      </c>
    </row>
    <row r="147" spans="2:6" ht="15.75" thickBot="1" x14ac:dyDescent="0.3">
      <c r="B147" s="989" t="s">
        <v>63</v>
      </c>
      <c r="C147" s="990"/>
      <c r="D147" s="990"/>
      <c r="E147" s="990"/>
      <c r="F147" s="991"/>
    </row>
    <row r="148" spans="2:6" ht="15.75" thickBot="1" x14ac:dyDescent="0.3">
      <c r="B148" s="989" t="s">
        <v>64</v>
      </c>
      <c r="C148" s="990"/>
      <c r="D148" s="990"/>
      <c r="E148" s="990"/>
      <c r="F148" s="991"/>
    </row>
    <row r="149" spans="2:6" ht="32.25" customHeight="1" thickBot="1" x14ac:dyDescent="0.3">
      <c r="B149" s="67" t="s">
        <v>61</v>
      </c>
      <c r="C149" s="1012" t="s">
        <v>1068</v>
      </c>
      <c r="D149" s="1013"/>
      <c r="E149" s="1013"/>
      <c r="F149" s="1014"/>
    </row>
    <row r="150" spans="2:6" ht="15.75" thickBot="1" x14ac:dyDescent="0.3">
      <c r="B150" s="160" t="s">
        <v>16</v>
      </c>
      <c r="C150" s="992" t="s">
        <v>1058</v>
      </c>
      <c r="D150" s="993"/>
      <c r="E150" s="993"/>
      <c r="F150" s="994"/>
    </row>
    <row r="151" spans="2:6" ht="70.5" customHeight="1" thickBot="1" x14ac:dyDescent="0.3">
      <c r="B151" s="62" t="s">
        <v>17</v>
      </c>
      <c r="C151" s="983" t="s">
        <v>1059</v>
      </c>
      <c r="D151" s="984"/>
      <c r="E151" s="984"/>
      <c r="F151" s="985"/>
    </row>
    <row r="152" spans="2:6" ht="15.75" thickBot="1" x14ac:dyDescent="0.3">
      <c r="B152" s="62" t="s">
        <v>18</v>
      </c>
      <c r="C152" s="995" t="s">
        <v>1060</v>
      </c>
      <c r="D152" s="996"/>
      <c r="E152" s="996"/>
      <c r="F152" s="997"/>
    </row>
    <row r="153" spans="2:6" x14ac:dyDescent="0.25">
      <c r="B153" s="998"/>
      <c r="C153" s="63">
        <v>2018</v>
      </c>
      <c r="D153" s="63">
        <v>2019</v>
      </c>
      <c r="E153" s="63">
        <v>2020</v>
      </c>
      <c r="F153" s="63">
        <v>2021</v>
      </c>
    </row>
    <row r="154" spans="2:6" ht="15.75" thickBot="1" x14ac:dyDescent="0.3">
      <c r="B154" s="999"/>
      <c r="C154" s="64" t="s">
        <v>10</v>
      </c>
      <c r="D154" s="64" t="s">
        <v>11</v>
      </c>
      <c r="E154" s="64" t="s">
        <v>11</v>
      </c>
      <c r="F154" s="64" t="s">
        <v>11</v>
      </c>
    </row>
    <row r="155" spans="2:6" ht="15.75" thickBot="1" x14ac:dyDescent="0.3">
      <c r="B155" s="62" t="s">
        <v>19</v>
      </c>
      <c r="C155" s="161" t="s">
        <v>1061</v>
      </c>
      <c r="D155" s="161" t="s">
        <v>1061</v>
      </c>
      <c r="E155" s="161" t="s">
        <v>1061</v>
      </c>
      <c r="F155" s="161" t="s">
        <v>1061</v>
      </c>
    </row>
    <row r="156" spans="2:6" ht="19.5" customHeight="1" thickBot="1" x14ac:dyDescent="0.3">
      <c r="B156" s="62" t="s">
        <v>20</v>
      </c>
      <c r="C156" s="161"/>
      <c r="D156" s="161">
        <v>4311</v>
      </c>
      <c r="E156" s="161"/>
      <c r="F156" s="161"/>
    </row>
    <row r="157" spans="2:6" ht="15.75" thickBot="1" x14ac:dyDescent="0.3">
      <c r="B157" s="62" t="s">
        <v>21</v>
      </c>
      <c r="C157" s="161" t="s">
        <v>1061</v>
      </c>
      <c r="D157" s="161" t="s">
        <v>1061</v>
      </c>
      <c r="E157" s="161" t="s">
        <v>1061</v>
      </c>
      <c r="F157" s="161" t="s">
        <v>1061</v>
      </c>
    </row>
    <row r="158" spans="2:6" ht="15.75" thickBot="1" x14ac:dyDescent="0.3">
      <c r="B158" s="62" t="s">
        <v>22</v>
      </c>
      <c r="C158" s="636" t="s">
        <v>23</v>
      </c>
      <c r="D158" s="162">
        <v>1.0000000000000009E-2</v>
      </c>
      <c r="E158" s="162">
        <v>1.0000000000000009E-2</v>
      </c>
      <c r="F158" s="162">
        <v>1.0000000000000009E-2</v>
      </c>
    </row>
    <row r="159" spans="2:6" ht="15.75" thickBot="1" x14ac:dyDescent="0.3">
      <c r="B159" s="62" t="s">
        <v>24</v>
      </c>
      <c r="C159" s="636" t="s">
        <v>23</v>
      </c>
      <c r="D159" s="162" t="e">
        <v>#DIV/0!</v>
      </c>
      <c r="E159" s="162">
        <v>-1</v>
      </c>
      <c r="F159" s="162" t="e">
        <v>#DIV/0!</v>
      </c>
    </row>
    <row r="160" spans="2:6" ht="33" customHeight="1" thickBot="1" x14ac:dyDescent="0.3">
      <c r="B160" s="62" t="s">
        <v>25</v>
      </c>
      <c r="C160" s="636" t="s">
        <v>23</v>
      </c>
      <c r="D160" s="162" t="e">
        <v>#DIV/0!</v>
      </c>
      <c r="E160" s="162">
        <v>-1</v>
      </c>
      <c r="F160" s="162" t="e">
        <v>#DIV/0!</v>
      </c>
    </row>
    <row r="161" spans="2:6" ht="32.25" customHeight="1" thickBot="1" x14ac:dyDescent="0.3">
      <c r="B161" s="67" t="s">
        <v>61</v>
      </c>
      <c r="C161" s="1012" t="s">
        <v>1069</v>
      </c>
      <c r="D161" s="1013"/>
      <c r="E161" s="1013"/>
      <c r="F161" s="1014"/>
    </row>
    <row r="162" spans="2:6" ht="15.75" thickBot="1" x14ac:dyDescent="0.3">
      <c r="B162" s="160" t="s">
        <v>16</v>
      </c>
      <c r="C162" s="992" t="s">
        <v>1058</v>
      </c>
      <c r="D162" s="993"/>
      <c r="E162" s="993"/>
      <c r="F162" s="994"/>
    </row>
    <row r="163" spans="2:6" ht="46.5" customHeight="1" thickBot="1" x14ac:dyDescent="0.3">
      <c r="B163" s="62" t="s">
        <v>17</v>
      </c>
      <c r="C163" s="983" t="s">
        <v>1059</v>
      </c>
      <c r="D163" s="984"/>
      <c r="E163" s="984"/>
      <c r="F163" s="985"/>
    </row>
    <row r="164" spans="2:6" ht="15.75" thickBot="1" x14ac:dyDescent="0.3">
      <c r="B164" s="62" t="s">
        <v>18</v>
      </c>
      <c r="C164" s="995" t="s">
        <v>1060</v>
      </c>
      <c r="D164" s="996"/>
      <c r="E164" s="996"/>
      <c r="F164" s="997"/>
    </row>
    <row r="165" spans="2:6" x14ac:dyDescent="0.25">
      <c r="B165" s="998"/>
      <c r="C165" s="63">
        <v>2018</v>
      </c>
      <c r="D165" s="63">
        <v>2019</v>
      </c>
      <c r="E165" s="63">
        <v>2020</v>
      </c>
      <c r="F165" s="63">
        <v>2021</v>
      </c>
    </row>
    <row r="166" spans="2:6" ht="15.75" thickBot="1" x14ac:dyDescent="0.3">
      <c r="B166" s="999"/>
      <c r="C166" s="64" t="s">
        <v>10</v>
      </c>
      <c r="D166" s="64" t="s">
        <v>11</v>
      </c>
      <c r="E166" s="64" t="s">
        <v>11</v>
      </c>
      <c r="F166" s="64" t="s">
        <v>11</v>
      </c>
    </row>
    <row r="167" spans="2:6" ht="15.75" thickBot="1" x14ac:dyDescent="0.3">
      <c r="B167" s="62" t="s">
        <v>19</v>
      </c>
      <c r="C167" s="161" t="s">
        <v>1061</v>
      </c>
      <c r="D167" s="161" t="s">
        <v>1061</v>
      </c>
      <c r="E167" s="161" t="s">
        <v>1061</v>
      </c>
      <c r="F167" s="161" t="s">
        <v>1061</v>
      </c>
    </row>
    <row r="168" spans="2:6" ht="15.75" thickBot="1" x14ac:dyDescent="0.3">
      <c r="B168" s="62" t="s">
        <v>20</v>
      </c>
      <c r="C168" s="161"/>
      <c r="D168" s="161">
        <v>11610</v>
      </c>
      <c r="E168" s="161">
        <v>8940</v>
      </c>
      <c r="F168" s="161">
        <v>7780</v>
      </c>
    </row>
    <row r="169" spans="2:6" ht="15.75" thickBot="1" x14ac:dyDescent="0.3">
      <c r="B169" s="62" t="s">
        <v>21</v>
      </c>
      <c r="C169" s="161" t="s">
        <v>1061</v>
      </c>
      <c r="D169" s="161" t="s">
        <v>1061</v>
      </c>
      <c r="E169" s="161" t="s">
        <v>1061</v>
      </c>
      <c r="F169" s="161" t="s">
        <v>1061</v>
      </c>
    </row>
    <row r="170" spans="2:6" ht="15.75" thickBot="1" x14ac:dyDescent="0.3">
      <c r="B170" s="62" t="s">
        <v>22</v>
      </c>
      <c r="C170" s="636" t="s">
        <v>23</v>
      </c>
      <c r="D170" s="162">
        <v>1.0000000000000009E-2</v>
      </c>
      <c r="E170" s="162">
        <v>1.0000000000000009E-2</v>
      </c>
      <c r="F170" s="162">
        <v>1.0000000000000009E-2</v>
      </c>
    </row>
    <row r="171" spans="2:6" ht="15.75" thickBot="1" x14ac:dyDescent="0.3">
      <c r="B171" s="62" t="s">
        <v>24</v>
      </c>
      <c r="C171" s="636" t="s">
        <v>23</v>
      </c>
      <c r="D171" s="162" t="e">
        <v>#DIV/0!</v>
      </c>
      <c r="E171" s="162">
        <v>-0.22997416020671835</v>
      </c>
      <c r="F171" s="162">
        <v>-0.12975391498881428</v>
      </c>
    </row>
    <row r="172" spans="2:6" ht="15.75" thickBot="1" x14ac:dyDescent="0.3">
      <c r="B172" s="62" t="s">
        <v>25</v>
      </c>
      <c r="C172" s="636" t="s">
        <v>23</v>
      </c>
      <c r="D172" s="162" t="e">
        <v>#DIV/0!</v>
      </c>
      <c r="E172" s="162">
        <v>-0.23759817842249342</v>
      </c>
      <c r="F172" s="162">
        <v>-0.13837021286021223</v>
      </c>
    </row>
    <row r="173" spans="2:6" ht="15.75" thickBot="1" x14ac:dyDescent="0.3">
      <c r="B173" s="67" t="s">
        <v>61</v>
      </c>
      <c r="C173" s="1009" t="s">
        <v>1070</v>
      </c>
      <c r="D173" s="1010"/>
      <c r="E173" s="1010"/>
      <c r="F173" s="1011"/>
    </row>
    <row r="174" spans="2:6" ht="15.75" thickBot="1" x14ac:dyDescent="0.3">
      <c r="B174" s="160" t="s">
        <v>16</v>
      </c>
      <c r="C174" s="992" t="s">
        <v>1058</v>
      </c>
      <c r="D174" s="993"/>
      <c r="E174" s="993"/>
      <c r="F174" s="994"/>
    </row>
    <row r="175" spans="2:6" ht="49.5" customHeight="1" thickBot="1" x14ac:dyDescent="0.3">
      <c r="B175" s="62" t="s">
        <v>17</v>
      </c>
      <c r="C175" s="983" t="s">
        <v>1059</v>
      </c>
      <c r="D175" s="984"/>
      <c r="E175" s="984"/>
      <c r="F175" s="985"/>
    </row>
    <row r="176" spans="2:6" ht="15.75" thickBot="1" x14ac:dyDescent="0.3">
      <c r="B176" s="62" t="s">
        <v>18</v>
      </c>
      <c r="C176" s="995" t="s">
        <v>1060</v>
      </c>
      <c r="D176" s="996"/>
      <c r="E176" s="996"/>
      <c r="F176" s="997"/>
    </row>
    <row r="177" spans="2:8" x14ac:dyDescent="0.25">
      <c r="B177" s="998"/>
      <c r="C177" s="63">
        <v>2018</v>
      </c>
      <c r="D177" s="63">
        <v>2019</v>
      </c>
      <c r="E177" s="63">
        <v>2020</v>
      </c>
      <c r="F177" s="63">
        <v>2021</v>
      </c>
    </row>
    <row r="178" spans="2:8" ht="15.75" thickBot="1" x14ac:dyDescent="0.3">
      <c r="B178" s="999"/>
      <c r="C178" s="64" t="s">
        <v>10</v>
      </c>
      <c r="D178" s="64" t="s">
        <v>11</v>
      </c>
      <c r="E178" s="64" t="s">
        <v>11</v>
      </c>
      <c r="F178" s="64" t="s">
        <v>11</v>
      </c>
    </row>
    <row r="179" spans="2:8" ht="15.75" thickBot="1" x14ac:dyDescent="0.3">
      <c r="B179" s="62" t="s">
        <v>19</v>
      </c>
      <c r="C179" s="161" t="s">
        <v>1061</v>
      </c>
      <c r="D179" s="161" t="s">
        <v>1061</v>
      </c>
      <c r="E179" s="161" t="s">
        <v>1061</v>
      </c>
      <c r="F179" s="161" t="s">
        <v>1061</v>
      </c>
    </row>
    <row r="180" spans="2:8" ht="15.75" thickBot="1" x14ac:dyDescent="0.3">
      <c r="B180" s="62" t="s">
        <v>20</v>
      </c>
      <c r="C180" s="161">
        <v>19500</v>
      </c>
      <c r="D180" s="161">
        <v>24000</v>
      </c>
      <c r="E180" s="161">
        <v>28500</v>
      </c>
      <c r="F180" s="161">
        <v>30000</v>
      </c>
    </row>
    <row r="181" spans="2:8" ht="15.75" thickBot="1" x14ac:dyDescent="0.3">
      <c r="B181" s="62" t="s">
        <v>21</v>
      </c>
      <c r="C181" s="161" t="s">
        <v>1061</v>
      </c>
      <c r="D181" s="161" t="s">
        <v>1061</v>
      </c>
      <c r="E181" s="161" t="s">
        <v>1061</v>
      </c>
      <c r="F181" s="161" t="s">
        <v>1061</v>
      </c>
    </row>
    <row r="182" spans="2:8" ht="15.75" thickBot="1" x14ac:dyDescent="0.3">
      <c r="B182" s="62" t="s">
        <v>22</v>
      </c>
      <c r="C182" s="636" t="s">
        <v>23</v>
      </c>
      <c r="D182" s="162">
        <v>1.0000000000000009E-2</v>
      </c>
      <c r="E182" s="162">
        <v>1.0000000000000009E-2</v>
      </c>
      <c r="F182" s="162">
        <v>1.0000000000000009E-2</v>
      </c>
    </row>
    <row r="183" spans="2:8" ht="15.75" thickBot="1" x14ac:dyDescent="0.3">
      <c r="B183" s="62" t="s">
        <v>24</v>
      </c>
      <c r="C183" s="636" t="s">
        <v>23</v>
      </c>
      <c r="D183" s="162">
        <v>0.23076923076923084</v>
      </c>
      <c r="E183" s="162">
        <v>0.1875</v>
      </c>
      <c r="F183" s="162">
        <v>5.2631578947368363E-2</v>
      </c>
    </row>
    <row r="184" spans="2:8" ht="15.75" thickBot="1" x14ac:dyDescent="0.3">
      <c r="B184" s="62" t="s">
        <v>25</v>
      </c>
      <c r="C184" s="636" t="s">
        <v>23</v>
      </c>
      <c r="D184" s="162">
        <v>0.21858339680121852</v>
      </c>
      <c r="E184" s="162">
        <v>0.17574257425742568</v>
      </c>
      <c r="F184" s="162">
        <v>4.2209484106305428E-2</v>
      </c>
    </row>
    <row r="185" spans="2:8" ht="15.75" thickBot="1" x14ac:dyDescent="0.3">
      <c r="B185" s="67" t="s">
        <v>61</v>
      </c>
      <c r="C185" s="1009" t="s">
        <v>1071</v>
      </c>
      <c r="D185" s="1010"/>
      <c r="E185" s="1010"/>
      <c r="F185" s="1011"/>
    </row>
    <row r="186" spans="2:8" ht="15.75" thickBot="1" x14ac:dyDescent="0.3">
      <c r="B186" s="160" t="s">
        <v>16</v>
      </c>
      <c r="C186" s="992" t="s">
        <v>1058</v>
      </c>
      <c r="D186" s="993"/>
      <c r="E186" s="993"/>
      <c r="F186" s="994"/>
    </row>
    <row r="187" spans="2:8" ht="45.75" customHeight="1" thickBot="1" x14ac:dyDescent="0.3">
      <c r="B187" s="62" t="s">
        <v>17</v>
      </c>
      <c r="C187" s="983" t="s">
        <v>1059</v>
      </c>
      <c r="D187" s="984"/>
      <c r="E187" s="984"/>
      <c r="F187" s="985"/>
    </row>
    <row r="188" spans="2:8" ht="15.75" thickBot="1" x14ac:dyDescent="0.3">
      <c r="B188" s="62" t="s">
        <v>18</v>
      </c>
      <c r="C188" s="995" t="s">
        <v>1060</v>
      </c>
      <c r="D188" s="996"/>
      <c r="E188" s="996"/>
      <c r="F188" s="997"/>
    </row>
    <row r="189" spans="2:8" x14ac:dyDescent="0.25">
      <c r="B189" s="998"/>
      <c r="C189" s="63">
        <v>2018</v>
      </c>
      <c r="D189" s="63">
        <v>2019</v>
      </c>
      <c r="E189" s="63">
        <v>2020</v>
      </c>
      <c r="F189" s="63">
        <v>2021</v>
      </c>
      <c r="H189" s="163"/>
    </row>
    <row r="190" spans="2:8" ht="15.75" thickBot="1" x14ac:dyDescent="0.3">
      <c r="B190" s="999"/>
      <c r="C190" s="64" t="s">
        <v>10</v>
      </c>
      <c r="D190" s="64" t="s">
        <v>11</v>
      </c>
      <c r="E190" s="64" t="s">
        <v>11</v>
      </c>
      <c r="F190" s="64" t="s">
        <v>11</v>
      </c>
    </row>
    <row r="191" spans="2:8" ht="15.75" thickBot="1" x14ac:dyDescent="0.3">
      <c r="B191" s="62" t="s">
        <v>19</v>
      </c>
      <c r="C191" s="161" t="s">
        <v>1061</v>
      </c>
      <c r="D191" s="161" t="s">
        <v>1061</v>
      </c>
      <c r="E191" s="161" t="s">
        <v>1061</v>
      </c>
      <c r="F191" s="161" t="s">
        <v>1061</v>
      </c>
    </row>
    <row r="192" spans="2:8" ht="15.75" thickBot="1" x14ac:dyDescent="0.3">
      <c r="B192" s="62" t="s">
        <v>20</v>
      </c>
      <c r="C192" s="161">
        <v>1040</v>
      </c>
      <c r="D192" s="161">
        <v>188</v>
      </c>
      <c r="E192" s="161">
        <v>69.5</v>
      </c>
      <c r="F192" s="161">
        <v>126</v>
      </c>
    </row>
    <row r="193" spans="2:6" ht="15.75" thickBot="1" x14ac:dyDescent="0.3">
      <c r="B193" s="62" t="s">
        <v>21</v>
      </c>
      <c r="C193" s="161" t="s">
        <v>1061</v>
      </c>
      <c r="D193" s="161" t="s">
        <v>1061</v>
      </c>
      <c r="E193" s="161" t="s">
        <v>1061</v>
      </c>
      <c r="F193" s="161" t="s">
        <v>1061</v>
      </c>
    </row>
    <row r="194" spans="2:6" ht="15.75" thickBot="1" x14ac:dyDescent="0.3">
      <c r="B194" s="62" t="s">
        <v>22</v>
      </c>
      <c r="C194" s="636" t="s">
        <v>23</v>
      </c>
      <c r="D194" s="162">
        <v>1.0000000000000009E-2</v>
      </c>
      <c r="E194" s="162">
        <v>1.0000000000000009E-2</v>
      </c>
      <c r="F194" s="162">
        <v>1.0000000000000009E-2</v>
      </c>
    </row>
    <row r="195" spans="2:6" ht="15.75" thickBot="1" x14ac:dyDescent="0.3">
      <c r="B195" s="62" t="s">
        <v>24</v>
      </c>
      <c r="C195" s="636" t="s">
        <v>23</v>
      </c>
      <c r="D195" s="162">
        <v>-0.81923076923076921</v>
      </c>
      <c r="E195" s="162">
        <v>-0.63031914893617014</v>
      </c>
      <c r="F195" s="162">
        <v>0.81294964028776984</v>
      </c>
    </row>
    <row r="196" spans="2:6" ht="15.75" thickBot="1" x14ac:dyDescent="0.3">
      <c r="B196" s="62" t="s">
        <v>25</v>
      </c>
      <c r="C196" s="636" t="s">
        <v>23</v>
      </c>
      <c r="D196" s="162">
        <v>-0.82102056359482101</v>
      </c>
      <c r="E196" s="162">
        <v>-0.63397935538234673</v>
      </c>
      <c r="F196" s="162">
        <v>0.79499964384927702</v>
      </c>
    </row>
    <row r="197" spans="2:6" ht="15.75" thickBot="1" x14ac:dyDescent="0.3">
      <c r="B197" s="1000" t="s">
        <v>1075</v>
      </c>
      <c r="C197" s="1001"/>
      <c r="D197" s="1001"/>
      <c r="E197" s="1001"/>
      <c r="F197" s="1002"/>
    </row>
    <row r="198" spans="2:6" x14ac:dyDescent="0.25">
      <c r="B198" s="998"/>
      <c r="C198" s="63">
        <v>2018</v>
      </c>
      <c r="D198" s="63">
        <v>2019</v>
      </c>
      <c r="E198" s="63">
        <v>2020</v>
      </c>
      <c r="F198" s="63">
        <v>2021</v>
      </c>
    </row>
    <row r="199" spans="2:6" ht="15.75" thickBot="1" x14ac:dyDescent="0.3">
      <c r="B199" s="999"/>
      <c r="C199" s="64" t="s">
        <v>10</v>
      </c>
      <c r="D199" s="64" t="s">
        <v>11</v>
      </c>
      <c r="E199" s="64" t="s">
        <v>11</v>
      </c>
      <c r="F199" s="64" t="s">
        <v>11</v>
      </c>
    </row>
    <row r="200" spans="2:6" ht="15.75" thickBot="1" x14ac:dyDescent="0.3">
      <c r="B200" s="65" t="s">
        <v>58</v>
      </c>
      <c r="C200" s="164"/>
      <c r="D200" s="164"/>
      <c r="E200" s="164"/>
      <c r="F200" s="164"/>
    </row>
    <row r="201" spans="2:6" ht="15.75" thickBot="1" x14ac:dyDescent="0.3">
      <c r="B201" s="65" t="s">
        <v>59</v>
      </c>
      <c r="C201" s="165">
        <v>20540</v>
      </c>
      <c r="D201" s="165">
        <v>40109</v>
      </c>
      <c r="E201" s="165">
        <v>37509.5</v>
      </c>
      <c r="F201" s="165">
        <v>37906</v>
      </c>
    </row>
    <row r="202" spans="2:6" ht="15.75" thickBot="1" x14ac:dyDescent="0.3">
      <c r="B202" s="656" t="s">
        <v>40</v>
      </c>
      <c r="C202" s="165">
        <v>20540</v>
      </c>
      <c r="D202" s="165">
        <v>40109</v>
      </c>
      <c r="E202" s="165">
        <v>37509.5</v>
      </c>
      <c r="F202" s="165">
        <v>37906</v>
      </c>
    </row>
    <row r="203" spans="2:6" ht="15.75" thickBot="1" x14ac:dyDescent="0.3">
      <c r="B203" s="67" t="s">
        <v>61</v>
      </c>
      <c r="C203" s="1009" t="s">
        <v>130</v>
      </c>
      <c r="D203" s="1010"/>
      <c r="E203" s="1010"/>
      <c r="F203" s="1011"/>
    </row>
    <row r="204" spans="2:6" ht="17.25" customHeight="1" thickBot="1" x14ac:dyDescent="0.3">
      <c r="B204" s="160" t="s">
        <v>129</v>
      </c>
      <c r="C204" s="992" t="s">
        <v>106</v>
      </c>
      <c r="D204" s="993"/>
      <c r="E204" s="993"/>
      <c r="F204" s="994"/>
    </row>
    <row r="205" spans="2:6" ht="15.75" thickBot="1" x14ac:dyDescent="0.3">
      <c r="B205" s="62" t="s">
        <v>17</v>
      </c>
      <c r="C205" s="983" t="s">
        <v>106</v>
      </c>
      <c r="D205" s="984"/>
      <c r="E205" s="984"/>
      <c r="F205" s="985"/>
    </row>
    <row r="206" spans="2:6" ht="15.75" thickBot="1" x14ac:dyDescent="0.3">
      <c r="B206" s="62" t="s">
        <v>18</v>
      </c>
      <c r="C206" s="995" t="s">
        <v>106</v>
      </c>
      <c r="D206" s="996"/>
      <c r="E206" s="996"/>
      <c r="F206" s="997"/>
    </row>
    <row r="207" spans="2:6" x14ac:dyDescent="0.25">
      <c r="B207" s="998"/>
      <c r="C207" s="63">
        <v>2018</v>
      </c>
      <c r="D207" s="63">
        <v>2019</v>
      </c>
      <c r="E207" s="63">
        <v>2020</v>
      </c>
      <c r="F207" s="63">
        <v>2021</v>
      </c>
    </row>
    <row r="208" spans="2:6" ht="15.75" thickBot="1" x14ac:dyDescent="0.3">
      <c r="B208" s="999"/>
      <c r="C208" s="64" t="s">
        <v>10</v>
      </c>
      <c r="D208" s="64" t="s">
        <v>11</v>
      </c>
      <c r="E208" s="64" t="s">
        <v>11</v>
      </c>
      <c r="F208" s="64" t="s">
        <v>11</v>
      </c>
    </row>
    <row r="209" spans="2:6" ht="15.75" thickBot="1" x14ac:dyDescent="0.3">
      <c r="B209" s="62" t="s">
        <v>19</v>
      </c>
      <c r="C209" s="161"/>
      <c r="D209" s="161"/>
      <c r="E209" s="161"/>
      <c r="F209" s="161"/>
    </row>
    <row r="210" spans="2:6" ht="24" customHeight="1" thickBot="1" x14ac:dyDescent="0.3">
      <c r="B210" s="62" t="s">
        <v>20</v>
      </c>
      <c r="C210" s="161"/>
      <c r="D210" s="161"/>
      <c r="E210" s="161"/>
      <c r="F210" s="161"/>
    </row>
    <row r="211" spans="2:6" ht="15.75" thickBot="1" x14ac:dyDescent="0.3">
      <c r="B211" s="62" t="s">
        <v>21</v>
      </c>
      <c r="C211" s="161" t="e">
        <v>#DIV/0!</v>
      </c>
      <c r="D211" s="161" t="e">
        <v>#DIV/0!</v>
      </c>
      <c r="E211" s="161" t="e">
        <v>#DIV/0!</v>
      </c>
      <c r="F211" s="161" t="e">
        <v>#DIV/0!</v>
      </c>
    </row>
    <row r="212" spans="2:6" ht="15.75" thickBot="1" x14ac:dyDescent="0.3">
      <c r="B212" s="62" t="s">
        <v>22</v>
      </c>
      <c r="C212" s="636" t="s">
        <v>23</v>
      </c>
      <c r="D212" s="162" t="e">
        <v>#DIV/0!</v>
      </c>
      <c r="E212" s="162" t="e">
        <v>#DIV/0!</v>
      </c>
      <c r="F212" s="162" t="e">
        <v>#DIV/0!</v>
      </c>
    </row>
    <row r="213" spans="2:6" ht="15.75" thickBot="1" x14ac:dyDescent="0.3">
      <c r="B213" s="62" t="s">
        <v>24</v>
      </c>
      <c r="C213" s="636" t="s">
        <v>23</v>
      </c>
      <c r="D213" s="162" t="e">
        <v>#DIV/0!</v>
      </c>
      <c r="E213" s="162" t="e">
        <v>#DIV/0!</v>
      </c>
      <c r="F213" s="162" t="e">
        <v>#DIV/0!</v>
      </c>
    </row>
    <row r="214" spans="2:6" ht="15.75" thickBot="1" x14ac:dyDescent="0.3">
      <c r="B214" s="62" t="s">
        <v>25</v>
      </c>
      <c r="C214" s="636" t="s">
        <v>23</v>
      </c>
      <c r="D214" s="162" t="e">
        <v>#DIV/0!</v>
      </c>
      <c r="E214" s="162" t="e">
        <v>#DIV/0!</v>
      </c>
      <c r="F214" s="162" t="e">
        <v>#DIV/0!</v>
      </c>
    </row>
    <row r="215" spans="2:6" ht="15.75" thickBot="1" x14ac:dyDescent="0.3">
      <c r="B215" s="1000" t="s">
        <v>1079</v>
      </c>
      <c r="C215" s="1001"/>
      <c r="D215" s="1001"/>
      <c r="E215" s="1001"/>
      <c r="F215" s="1002"/>
    </row>
    <row r="216" spans="2:6" x14ac:dyDescent="0.25">
      <c r="B216" s="998"/>
      <c r="C216" s="63">
        <v>2018</v>
      </c>
      <c r="D216" s="63">
        <v>2019</v>
      </c>
      <c r="E216" s="63">
        <v>2020</v>
      </c>
      <c r="F216" s="63">
        <v>2021</v>
      </c>
    </row>
    <row r="217" spans="2:6" ht="15.75" thickBot="1" x14ac:dyDescent="0.3">
      <c r="B217" s="999"/>
      <c r="C217" s="64" t="s">
        <v>10</v>
      </c>
      <c r="D217" s="64" t="s">
        <v>11</v>
      </c>
      <c r="E217" s="64" t="s">
        <v>11</v>
      </c>
      <c r="F217" s="64" t="s">
        <v>11</v>
      </c>
    </row>
    <row r="218" spans="2:6" ht="15.75" customHeight="1" thickBot="1" x14ac:dyDescent="0.3">
      <c r="B218" s="65" t="s">
        <v>58</v>
      </c>
      <c r="C218" s="164"/>
      <c r="D218" s="164"/>
      <c r="E218" s="164"/>
      <c r="F218" s="164"/>
    </row>
    <row r="219" spans="2:6" ht="18" customHeight="1" thickBot="1" x14ac:dyDescent="0.3">
      <c r="B219" s="65" t="s">
        <v>59</v>
      </c>
      <c r="C219" s="165"/>
      <c r="D219" s="164"/>
      <c r="E219" s="164"/>
      <c r="F219" s="164"/>
    </row>
    <row r="220" spans="2:6" ht="18" customHeight="1" thickBot="1" x14ac:dyDescent="0.3">
      <c r="B220" s="66" t="s">
        <v>74</v>
      </c>
      <c r="C220" s="165">
        <v>0</v>
      </c>
      <c r="D220" s="165">
        <v>0</v>
      </c>
      <c r="E220" s="165">
        <v>0</v>
      </c>
      <c r="F220" s="165">
        <v>0</v>
      </c>
    </row>
    <row r="221" spans="2:6" ht="43.5" customHeight="1" thickBot="1" x14ac:dyDescent="0.3">
      <c r="B221" s="154" t="s">
        <v>67</v>
      </c>
      <c r="C221" s="992" t="s">
        <v>106</v>
      </c>
      <c r="D221" s="993"/>
      <c r="E221" s="993"/>
      <c r="F221" s="994"/>
    </row>
    <row r="222" spans="2:6" ht="15.75" thickBot="1" x14ac:dyDescent="0.3">
      <c r="B222" s="983" t="s">
        <v>68</v>
      </c>
      <c r="C222" s="984"/>
      <c r="D222" s="984"/>
      <c r="E222" s="984"/>
      <c r="F222" s="985"/>
    </row>
    <row r="223" spans="2:6" ht="15.75" thickBot="1" x14ac:dyDescent="0.3">
      <c r="B223" s="637" t="s">
        <v>211</v>
      </c>
      <c r="C223" s="157" t="s">
        <v>116</v>
      </c>
      <c r="D223" s="157" t="s">
        <v>117</v>
      </c>
      <c r="E223" s="157" t="s">
        <v>117</v>
      </c>
      <c r="F223" s="157" t="s">
        <v>117</v>
      </c>
    </row>
    <row r="224" spans="2:6" ht="15.75" thickBot="1" x14ac:dyDescent="0.3">
      <c r="B224" s="62" t="s">
        <v>212</v>
      </c>
      <c r="C224" s="157" t="s">
        <v>116</v>
      </c>
      <c r="D224" s="157" t="s">
        <v>117</v>
      </c>
      <c r="E224" s="157" t="s">
        <v>117</v>
      </c>
      <c r="F224" s="157" t="s">
        <v>117</v>
      </c>
    </row>
    <row r="225" spans="2:6" ht="15.75" thickBot="1" x14ac:dyDescent="0.3">
      <c r="B225" s="62" t="s">
        <v>115</v>
      </c>
      <c r="C225" s="157" t="s">
        <v>116</v>
      </c>
      <c r="D225" s="157" t="s">
        <v>117</v>
      </c>
      <c r="E225" s="157" t="s">
        <v>117</v>
      </c>
      <c r="F225" s="157" t="s">
        <v>117</v>
      </c>
    </row>
    <row r="226" spans="2:6" ht="15.75" thickBot="1" x14ac:dyDescent="0.3">
      <c r="B226" s="1027" t="s">
        <v>69</v>
      </c>
      <c r="C226" s="1028"/>
      <c r="D226" s="1028"/>
      <c r="E226" s="1028"/>
      <c r="F226" s="1029"/>
    </row>
    <row r="227" spans="2:6" ht="15.75" thickBot="1" x14ac:dyDescent="0.3">
      <c r="B227" s="1030" t="s">
        <v>70</v>
      </c>
      <c r="C227" s="1031"/>
      <c r="D227" s="1031"/>
      <c r="E227" s="1031"/>
      <c r="F227" s="1032"/>
    </row>
    <row r="228" spans="2:6" x14ac:dyDescent="0.25">
      <c r="B228" s="998"/>
      <c r="C228" s="63">
        <v>2018</v>
      </c>
      <c r="D228" s="63">
        <v>2019</v>
      </c>
      <c r="E228" s="63">
        <v>2020</v>
      </c>
      <c r="F228" s="63">
        <v>2021</v>
      </c>
    </row>
    <row r="229" spans="2:6" ht="15.75" thickBot="1" x14ac:dyDescent="0.3">
      <c r="B229" s="999"/>
      <c r="C229" s="64" t="s">
        <v>10</v>
      </c>
      <c r="D229" s="64" t="s">
        <v>11</v>
      </c>
      <c r="E229" s="64" t="s">
        <v>11</v>
      </c>
      <c r="F229" s="64" t="s">
        <v>11</v>
      </c>
    </row>
    <row r="230" spans="2:6" ht="15.75" thickBot="1" x14ac:dyDescent="0.3">
      <c r="B230" s="160" t="s">
        <v>16</v>
      </c>
      <c r="C230" s="992" t="s">
        <v>106</v>
      </c>
      <c r="D230" s="993"/>
      <c r="E230" s="993"/>
      <c r="F230" s="994"/>
    </row>
    <row r="231" spans="2:6" ht="15.75" thickBot="1" x14ac:dyDescent="0.3">
      <c r="B231" s="62" t="s">
        <v>17</v>
      </c>
      <c r="C231" s="983" t="s">
        <v>106</v>
      </c>
      <c r="D231" s="984"/>
      <c r="E231" s="984"/>
      <c r="F231" s="985"/>
    </row>
    <row r="232" spans="2:6" ht="15.75" thickBot="1" x14ac:dyDescent="0.3">
      <c r="B232" s="62" t="s">
        <v>18</v>
      </c>
      <c r="C232" s="995" t="s">
        <v>106</v>
      </c>
      <c r="D232" s="996"/>
      <c r="E232" s="996"/>
      <c r="F232" s="997"/>
    </row>
    <row r="233" spans="2:6" x14ac:dyDescent="0.25">
      <c r="B233" s="998"/>
      <c r="C233" s="63">
        <v>2018</v>
      </c>
      <c r="D233" s="63">
        <v>2019</v>
      </c>
      <c r="E233" s="63">
        <v>2020</v>
      </c>
      <c r="F233" s="63">
        <v>2021</v>
      </c>
    </row>
    <row r="234" spans="2:6" ht="15.75" thickBot="1" x14ac:dyDescent="0.3">
      <c r="B234" s="999"/>
      <c r="C234" s="64" t="s">
        <v>10</v>
      </c>
      <c r="D234" s="64" t="s">
        <v>11</v>
      </c>
      <c r="E234" s="64" t="s">
        <v>11</v>
      </c>
      <c r="F234" s="64" t="s">
        <v>11</v>
      </c>
    </row>
    <row r="235" spans="2:6" ht="15.75" thickBot="1" x14ac:dyDescent="0.3">
      <c r="B235" s="62" t="s">
        <v>19</v>
      </c>
      <c r="C235" s="161"/>
      <c r="D235" s="203"/>
      <c r="E235" s="203"/>
      <c r="F235" s="203"/>
    </row>
    <row r="236" spans="2:6" ht="24" customHeight="1" thickBot="1" x14ac:dyDescent="0.3">
      <c r="B236" s="62" t="s">
        <v>20</v>
      </c>
      <c r="C236" s="161"/>
      <c r="D236" s="161"/>
      <c r="E236" s="161"/>
      <c r="F236" s="161"/>
    </row>
    <row r="237" spans="2:6" ht="15.75" thickBot="1" x14ac:dyDescent="0.3">
      <c r="B237" s="62" t="s">
        <v>21</v>
      </c>
      <c r="C237" s="161" t="e">
        <v>#DIV/0!</v>
      </c>
      <c r="D237" s="161" t="e">
        <v>#DIV/0!</v>
      </c>
      <c r="E237" s="161" t="e">
        <v>#DIV/0!</v>
      </c>
      <c r="F237" s="161" t="e">
        <v>#DIV/0!</v>
      </c>
    </row>
    <row r="238" spans="2:6" ht="15.75" thickBot="1" x14ac:dyDescent="0.3">
      <c r="B238" s="62" t="s">
        <v>22</v>
      </c>
      <c r="C238" s="636"/>
      <c r="D238" s="162" t="e">
        <v>#DIV/0!</v>
      </c>
      <c r="E238" s="162" t="e">
        <v>#DIV/0!</v>
      </c>
      <c r="F238" s="162" t="e">
        <v>#DIV/0!</v>
      </c>
    </row>
    <row r="239" spans="2:6" ht="15.75" thickBot="1" x14ac:dyDescent="0.3">
      <c r="B239" s="62" t="s">
        <v>24</v>
      </c>
      <c r="C239" s="636"/>
      <c r="D239" s="162" t="e">
        <v>#DIV/0!</v>
      </c>
      <c r="E239" s="162" t="e">
        <v>#DIV/0!</v>
      </c>
      <c r="F239" s="162" t="e">
        <v>#DIV/0!</v>
      </c>
    </row>
    <row r="240" spans="2:6" ht="15.75" thickBot="1" x14ac:dyDescent="0.3">
      <c r="B240" s="62" t="s">
        <v>25</v>
      </c>
      <c r="C240" s="636"/>
      <c r="D240" s="162" t="e">
        <v>#DIV/0!</v>
      </c>
      <c r="E240" s="162" t="e">
        <v>#DIV/0!</v>
      </c>
      <c r="F240" s="162" t="e">
        <v>#DIV/0!</v>
      </c>
    </row>
    <row r="241" spans="2:6" x14ac:dyDescent="0.25">
      <c r="B241" s="998"/>
      <c r="C241" s="63">
        <v>2018</v>
      </c>
      <c r="D241" s="63">
        <v>2019</v>
      </c>
      <c r="E241" s="63">
        <v>2020</v>
      </c>
      <c r="F241" s="63">
        <v>2021</v>
      </c>
    </row>
    <row r="242" spans="2:6" ht="15.75" thickBot="1" x14ac:dyDescent="0.3">
      <c r="B242" s="999"/>
      <c r="C242" s="64" t="s">
        <v>10</v>
      </c>
      <c r="D242" s="64" t="s">
        <v>11</v>
      </c>
      <c r="E242" s="64" t="s">
        <v>11</v>
      </c>
      <c r="F242" s="64" t="s">
        <v>11</v>
      </c>
    </row>
    <row r="243" spans="2:6" ht="15.75" thickBot="1" x14ac:dyDescent="0.3">
      <c r="B243" s="1000" t="s">
        <v>1080</v>
      </c>
      <c r="C243" s="1001"/>
      <c r="D243" s="1001"/>
      <c r="E243" s="1001"/>
      <c r="F243" s="1002"/>
    </row>
    <row r="244" spans="2:6" x14ac:dyDescent="0.25">
      <c r="B244" s="998"/>
      <c r="C244" s="63">
        <v>2018</v>
      </c>
      <c r="D244" s="63">
        <v>2019</v>
      </c>
      <c r="E244" s="63">
        <v>2020</v>
      </c>
      <c r="F244" s="63">
        <v>2021</v>
      </c>
    </row>
    <row r="245" spans="2:6" ht="15.75" thickBot="1" x14ac:dyDescent="0.3">
      <c r="B245" s="999"/>
      <c r="C245" s="64" t="s">
        <v>10</v>
      </c>
      <c r="D245" s="64" t="s">
        <v>11</v>
      </c>
      <c r="E245" s="64" t="s">
        <v>11</v>
      </c>
      <c r="F245" s="64" t="s">
        <v>11</v>
      </c>
    </row>
    <row r="246" spans="2:6" ht="15.75" thickBot="1" x14ac:dyDescent="0.3">
      <c r="B246" s="65" t="s">
        <v>26</v>
      </c>
      <c r="C246" s="164"/>
      <c r="D246" s="164"/>
      <c r="E246" s="164"/>
      <c r="F246" s="164"/>
    </row>
    <row r="247" spans="2:6" ht="31.5" customHeight="1" thickBot="1" x14ac:dyDescent="0.3">
      <c r="B247" s="65" t="s">
        <v>28</v>
      </c>
      <c r="C247" s="164"/>
      <c r="D247" s="164"/>
      <c r="E247" s="164"/>
      <c r="F247" s="164"/>
    </row>
    <row r="248" spans="2:6" ht="31.5" customHeight="1" thickBot="1" x14ac:dyDescent="0.3">
      <c r="B248" s="65" t="s">
        <v>30</v>
      </c>
      <c r="C248" s="165"/>
      <c r="D248" s="164"/>
      <c r="E248" s="164"/>
      <c r="F248" s="164"/>
    </row>
    <row r="249" spans="2:6" ht="18" customHeight="1" thickBot="1" x14ac:dyDescent="0.3">
      <c r="B249" s="65" t="s">
        <v>32</v>
      </c>
      <c r="C249" s="165"/>
      <c r="D249" s="164"/>
      <c r="E249" s="164"/>
      <c r="F249" s="164"/>
    </row>
    <row r="250" spans="2:6" ht="28.5" customHeight="1" thickBot="1" x14ac:dyDescent="0.3">
      <c r="B250" s="65" t="s">
        <v>34</v>
      </c>
      <c r="C250" s="165"/>
      <c r="D250" s="164"/>
      <c r="E250" s="164"/>
      <c r="F250" s="164"/>
    </row>
    <row r="251" spans="2:6" ht="15.75" customHeight="1" thickBot="1" x14ac:dyDescent="0.3">
      <c r="B251" s="65" t="s">
        <v>36</v>
      </c>
      <c r="C251" s="165"/>
      <c r="D251" s="164"/>
      <c r="E251" s="164"/>
      <c r="F251" s="164"/>
    </row>
    <row r="252" spans="2:6" ht="32.25" customHeight="1" thickBot="1" x14ac:dyDescent="0.3">
      <c r="B252" s="65" t="s">
        <v>38</v>
      </c>
      <c r="C252" s="165"/>
      <c r="D252" s="164"/>
      <c r="E252" s="164"/>
      <c r="F252" s="164"/>
    </row>
    <row r="253" spans="2:6" ht="33" customHeight="1" thickBot="1" x14ac:dyDescent="0.3">
      <c r="B253" s="204" t="s">
        <v>71</v>
      </c>
      <c r="C253" s="205">
        <v>0</v>
      </c>
      <c r="D253" s="205">
        <v>0</v>
      </c>
      <c r="E253" s="205">
        <v>0</v>
      </c>
      <c r="F253" s="205">
        <v>0</v>
      </c>
    </row>
    <row r="254" spans="2:6" ht="15.75" thickBot="1" x14ac:dyDescent="0.3">
      <c r="B254" s="166" t="s">
        <v>41</v>
      </c>
      <c r="C254" s="167">
        <v>0</v>
      </c>
      <c r="D254" s="167">
        <v>0</v>
      </c>
      <c r="E254" s="167">
        <v>0</v>
      </c>
      <c r="F254" s="167">
        <v>0</v>
      </c>
    </row>
    <row r="255" spans="2:6" ht="21.75" customHeight="1" thickBot="1" x14ac:dyDescent="0.3">
      <c r="B255" s="195" t="s">
        <v>1077</v>
      </c>
      <c r="C255" s="992" t="s">
        <v>106</v>
      </c>
      <c r="D255" s="993"/>
      <c r="E255" s="993"/>
      <c r="F255" s="994"/>
    </row>
    <row r="256" spans="2:6" ht="15.75" thickBot="1" x14ac:dyDescent="0.3">
      <c r="B256" s="62" t="s">
        <v>17</v>
      </c>
      <c r="C256" s="983" t="s">
        <v>106</v>
      </c>
      <c r="D256" s="984"/>
      <c r="E256" s="984"/>
      <c r="F256" s="985"/>
    </row>
    <row r="257" spans="2:6" ht="15.75" thickBot="1" x14ac:dyDescent="0.3">
      <c r="B257" s="62" t="s">
        <v>18</v>
      </c>
      <c r="C257" s="995" t="s">
        <v>106</v>
      </c>
      <c r="D257" s="996"/>
      <c r="E257" s="996"/>
      <c r="F257" s="997"/>
    </row>
    <row r="258" spans="2:6" x14ac:dyDescent="0.25">
      <c r="B258" s="998"/>
      <c r="C258" s="63">
        <v>2018</v>
      </c>
      <c r="D258" s="63">
        <v>2019</v>
      </c>
      <c r="E258" s="63">
        <v>2020</v>
      </c>
      <c r="F258" s="63">
        <v>2021</v>
      </c>
    </row>
    <row r="259" spans="2:6" ht="15.75" thickBot="1" x14ac:dyDescent="0.3">
      <c r="B259" s="999"/>
      <c r="C259" s="64" t="s">
        <v>10</v>
      </c>
      <c r="D259" s="64" t="s">
        <v>11</v>
      </c>
      <c r="E259" s="64" t="s">
        <v>11</v>
      </c>
      <c r="F259" s="64" t="s">
        <v>11</v>
      </c>
    </row>
    <row r="260" spans="2:6" ht="15.75" thickBot="1" x14ac:dyDescent="0.3">
      <c r="B260" s="62" t="s">
        <v>19</v>
      </c>
      <c r="C260" s="161"/>
      <c r="D260" s="161"/>
      <c r="E260" s="161"/>
      <c r="F260" s="161"/>
    </row>
    <row r="261" spans="2:6" ht="18.75" customHeight="1" thickBot="1" x14ac:dyDescent="0.3">
      <c r="B261" s="62" t="s">
        <v>20</v>
      </c>
      <c r="C261" s="161"/>
      <c r="D261" s="161"/>
      <c r="E261" s="161"/>
      <c r="F261" s="161"/>
    </row>
    <row r="262" spans="2:6" ht="15.75" thickBot="1" x14ac:dyDescent="0.3">
      <c r="B262" s="62" t="s">
        <v>21</v>
      </c>
      <c r="C262" s="161" t="e">
        <v>#DIV/0!</v>
      </c>
      <c r="D262" s="161" t="e">
        <v>#DIV/0!</v>
      </c>
      <c r="E262" s="161" t="e">
        <v>#DIV/0!</v>
      </c>
      <c r="F262" s="161" t="e">
        <v>#DIV/0!</v>
      </c>
    </row>
    <row r="263" spans="2:6" ht="15.75" thickBot="1" x14ac:dyDescent="0.3">
      <c r="B263" s="62" t="s">
        <v>22</v>
      </c>
      <c r="C263" s="636"/>
      <c r="D263" s="162" t="e">
        <v>#DIV/0!</v>
      </c>
      <c r="E263" s="162" t="e">
        <v>#DIV/0!</v>
      </c>
      <c r="F263" s="162" t="e">
        <v>#DIV/0!</v>
      </c>
    </row>
    <row r="264" spans="2:6" ht="15.75" thickBot="1" x14ac:dyDescent="0.3">
      <c r="B264" s="62" t="s">
        <v>24</v>
      </c>
      <c r="C264" s="636"/>
      <c r="D264" s="162" t="e">
        <v>#DIV/0!</v>
      </c>
      <c r="E264" s="162" t="e">
        <v>#DIV/0!</v>
      </c>
      <c r="F264" s="162" t="e">
        <v>#DIV/0!</v>
      </c>
    </row>
    <row r="265" spans="2:6" ht="25.5" customHeight="1" thickBot="1" x14ac:dyDescent="0.3">
      <c r="B265" s="62" t="s">
        <v>25</v>
      </c>
      <c r="C265" s="636"/>
      <c r="D265" s="162" t="e">
        <v>#DIV/0!</v>
      </c>
      <c r="E265" s="162" t="e">
        <v>#DIV/0!</v>
      </c>
      <c r="F265" s="162" t="e">
        <v>#DIV/0!</v>
      </c>
    </row>
    <row r="266" spans="2:6" ht="15.75" thickBot="1" x14ac:dyDescent="0.3">
      <c r="B266" s="1000" t="s">
        <v>1079</v>
      </c>
      <c r="C266" s="1001"/>
      <c r="D266" s="1001"/>
      <c r="E266" s="1001"/>
      <c r="F266" s="1002"/>
    </row>
    <row r="267" spans="2:6" x14ac:dyDescent="0.25">
      <c r="B267" s="998"/>
      <c r="C267" s="63">
        <v>2018</v>
      </c>
      <c r="D267" s="63">
        <v>2019</v>
      </c>
      <c r="E267" s="63">
        <v>2020</v>
      </c>
      <c r="F267" s="63">
        <v>2021</v>
      </c>
    </row>
    <row r="268" spans="2:6" ht="15.75" thickBot="1" x14ac:dyDescent="0.3">
      <c r="B268" s="999"/>
      <c r="C268" s="64" t="s">
        <v>10</v>
      </c>
      <c r="D268" s="64" t="s">
        <v>11</v>
      </c>
      <c r="E268" s="64" t="s">
        <v>11</v>
      </c>
      <c r="F268" s="64" t="s">
        <v>11</v>
      </c>
    </row>
    <row r="269" spans="2:6" ht="15.75" thickBot="1" x14ac:dyDescent="0.3">
      <c r="B269" s="65" t="s">
        <v>26</v>
      </c>
      <c r="C269" s="164"/>
      <c r="D269" s="164"/>
      <c r="E269" s="164"/>
      <c r="F269" s="164"/>
    </row>
    <row r="270" spans="2:6" ht="24" customHeight="1" thickBot="1" x14ac:dyDescent="0.3">
      <c r="B270" s="65" t="s">
        <v>28</v>
      </c>
      <c r="C270" s="164"/>
      <c r="D270" s="164"/>
      <c r="E270" s="164"/>
      <c r="F270" s="164"/>
    </row>
    <row r="271" spans="2:6" ht="21.75" customHeight="1" thickBot="1" x14ac:dyDescent="0.3">
      <c r="B271" s="65" t="s">
        <v>30</v>
      </c>
      <c r="C271" s="165"/>
      <c r="D271" s="164"/>
      <c r="E271" s="164"/>
      <c r="F271" s="164"/>
    </row>
    <row r="272" spans="2:6" ht="21.75" customHeight="1" thickBot="1" x14ac:dyDescent="0.3">
      <c r="B272" s="65" t="s">
        <v>32</v>
      </c>
      <c r="C272" s="165"/>
      <c r="D272" s="164"/>
      <c r="E272" s="164"/>
      <c r="F272" s="164"/>
    </row>
    <row r="273" spans="2:6" ht="27.75" customHeight="1" thickBot="1" x14ac:dyDescent="0.3">
      <c r="B273" s="65" t="s">
        <v>34</v>
      </c>
      <c r="C273" s="165"/>
      <c r="D273" s="164"/>
      <c r="E273" s="164"/>
      <c r="F273" s="164"/>
    </row>
    <row r="274" spans="2:6" ht="15.75" thickBot="1" x14ac:dyDescent="0.3">
      <c r="B274" s="65" t="s">
        <v>36</v>
      </c>
      <c r="C274" s="165"/>
      <c r="D274" s="164"/>
      <c r="E274" s="164"/>
      <c r="F274" s="164"/>
    </row>
    <row r="275" spans="2:6" ht="24" customHeight="1" thickBot="1" x14ac:dyDescent="0.3">
      <c r="B275" s="65" t="s">
        <v>38</v>
      </c>
      <c r="C275" s="165"/>
      <c r="D275" s="164"/>
      <c r="E275" s="164"/>
      <c r="F275" s="164"/>
    </row>
    <row r="276" spans="2:6" ht="31.5" customHeight="1" thickBot="1" x14ac:dyDescent="0.3">
      <c r="B276" s="204" t="s">
        <v>71</v>
      </c>
      <c r="C276" s="219">
        <v>0</v>
      </c>
      <c r="D276" s="219">
        <v>0</v>
      </c>
      <c r="E276" s="219">
        <v>0</v>
      </c>
      <c r="F276" s="219">
        <v>0</v>
      </c>
    </row>
    <row r="277" spans="2:6" ht="15.75" thickBot="1" x14ac:dyDescent="0.3">
      <c r="B277" s="166" t="s">
        <v>41</v>
      </c>
      <c r="C277" s="167">
        <v>0</v>
      </c>
      <c r="D277" s="167">
        <v>0</v>
      </c>
      <c r="E277" s="167">
        <v>0</v>
      </c>
      <c r="F277" s="167">
        <v>0</v>
      </c>
    </row>
    <row r="278" spans="2:6" ht="15.75" thickBot="1" x14ac:dyDescent="0.3">
      <c r="B278" s="989" t="s">
        <v>63</v>
      </c>
      <c r="C278" s="990"/>
      <c r="D278" s="990"/>
      <c r="E278" s="990"/>
      <c r="F278" s="991"/>
    </row>
    <row r="279" spans="2:6" ht="15.75" thickBot="1" x14ac:dyDescent="0.3">
      <c r="B279" s="989" t="s">
        <v>56</v>
      </c>
      <c r="C279" s="990"/>
      <c r="D279" s="990"/>
      <c r="E279" s="990"/>
      <c r="F279" s="991"/>
    </row>
    <row r="280" spans="2:6" ht="15.75" thickBot="1" x14ac:dyDescent="0.3">
      <c r="B280" s="67" t="s">
        <v>61</v>
      </c>
      <c r="C280" s="1009" t="s">
        <v>130</v>
      </c>
      <c r="D280" s="1010"/>
      <c r="E280" s="1010"/>
      <c r="F280" s="1011"/>
    </row>
    <row r="281" spans="2:6" ht="15.75" thickBot="1" x14ac:dyDescent="0.3">
      <c r="B281" s="160" t="s">
        <v>16</v>
      </c>
      <c r="C281" s="992" t="s">
        <v>106</v>
      </c>
      <c r="D281" s="993"/>
      <c r="E281" s="993"/>
      <c r="F281" s="994"/>
    </row>
    <row r="282" spans="2:6" ht="15.75" thickBot="1" x14ac:dyDescent="0.3">
      <c r="B282" s="62" t="s">
        <v>17</v>
      </c>
      <c r="C282" s="983" t="s">
        <v>106</v>
      </c>
      <c r="D282" s="984"/>
      <c r="E282" s="984"/>
      <c r="F282" s="985"/>
    </row>
    <row r="283" spans="2:6" ht="15.75" thickBot="1" x14ac:dyDescent="0.3">
      <c r="B283" s="62" t="s">
        <v>18</v>
      </c>
      <c r="C283" s="995" t="s">
        <v>106</v>
      </c>
      <c r="D283" s="996"/>
      <c r="E283" s="996"/>
      <c r="F283" s="997"/>
    </row>
    <row r="284" spans="2:6" x14ac:dyDescent="0.25">
      <c r="B284" s="998"/>
      <c r="C284" s="63">
        <v>2018</v>
      </c>
      <c r="D284" s="63">
        <v>2019</v>
      </c>
      <c r="E284" s="63">
        <v>2020</v>
      </c>
      <c r="F284" s="63">
        <v>2021</v>
      </c>
    </row>
    <row r="285" spans="2:6" ht="15.75" thickBot="1" x14ac:dyDescent="0.3">
      <c r="B285" s="999"/>
      <c r="C285" s="64" t="s">
        <v>10</v>
      </c>
      <c r="D285" s="64" t="s">
        <v>11</v>
      </c>
      <c r="E285" s="64" t="s">
        <v>11</v>
      </c>
      <c r="F285" s="64" t="s">
        <v>11</v>
      </c>
    </row>
    <row r="286" spans="2:6" ht="15.75" thickBot="1" x14ac:dyDescent="0.3">
      <c r="B286" s="62" t="s">
        <v>19</v>
      </c>
      <c r="C286" s="161"/>
      <c r="D286" s="161"/>
      <c r="E286" s="161"/>
      <c r="F286" s="161"/>
    </row>
    <row r="287" spans="2:6" ht="18" customHeight="1" thickBot="1" x14ac:dyDescent="0.3">
      <c r="B287" s="62" t="s">
        <v>20</v>
      </c>
      <c r="C287" s="161"/>
      <c r="D287" s="161"/>
      <c r="E287" s="161"/>
      <c r="F287" s="161"/>
    </row>
    <row r="288" spans="2:6" ht="15.75" thickBot="1" x14ac:dyDescent="0.3">
      <c r="B288" s="62" t="s">
        <v>21</v>
      </c>
      <c r="C288" s="161" t="e">
        <v>#DIV/0!</v>
      </c>
      <c r="D288" s="161" t="e">
        <v>#DIV/0!</v>
      </c>
      <c r="E288" s="161" t="e">
        <v>#DIV/0!</v>
      </c>
      <c r="F288" s="161" t="e">
        <v>#DIV/0!</v>
      </c>
    </row>
    <row r="289" spans="2:6" ht="15.75" thickBot="1" x14ac:dyDescent="0.3">
      <c r="B289" s="62" t="s">
        <v>22</v>
      </c>
      <c r="C289" s="636" t="s">
        <v>23</v>
      </c>
      <c r="D289" s="162" t="e">
        <v>#DIV/0!</v>
      </c>
      <c r="E289" s="162" t="e">
        <v>#DIV/0!</v>
      </c>
      <c r="F289" s="162" t="e">
        <v>#DIV/0!</v>
      </c>
    </row>
    <row r="290" spans="2:6" ht="15.75" thickBot="1" x14ac:dyDescent="0.3">
      <c r="B290" s="62" t="s">
        <v>24</v>
      </c>
      <c r="C290" s="636" t="s">
        <v>23</v>
      </c>
      <c r="D290" s="162" t="e">
        <v>#DIV/0!</v>
      </c>
      <c r="E290" s="162" t="e">
        <v>#DIV/0!</v>
      </c>
      <c r="F290" s="162" t="e">
        <v>#DIV/0!</v>
      </c>
    </row>
    <row r="291" spans="2:6" ht="17.25" customHeight="1" thickBot="1" x14ac:dyDescent="0.3">
      <c r="B291" s="62" t="s">
        <v>25</v>
      </c>
      <c r="C291" s="636" t="s">
        <v>23</v>
      </c>
      <c r="D291" s="162" t="e">
        <v>#DIV/0!</v>
      </c>
      <c r="E291" s="162" t="e">
        <v>#DIV/0!</v>
      </c>
      <c r="F291" s="162" t="e">
        <v>#DIV/0!</v>
      </c>
    </row>
    <row r="292" spans="2:6" ht="15.75" thickBot="1" x14ac:dyDescent="0.3">
      <c r="B292" s="1000" t="s">
        <v>1075</v>
      </c>
      <c r="C292" s="1001"/>
      <c r="D292" s="1001"/>
      <c r="E292" s="1001"/>
      <c r="F292" s="1002"/>
    </row>
    <row r="293" spans="2:6" x14ac:dyDescent="0.25">
      <c r="B293" s="998"/>
      <c r="C293" s="63">
        <v>2018</v>
      </c>
      <c r="D293" s="63">
        <v>2019</v>
      </c>
      <c r="E293" s="63">
        <v>2020</v>
      </c>
      <c r="F293" s="63">
        <v>2021</v>
      </c>
    </row>
    <row r="294" spans="2:6" ht="15.75" thickBot="1" x14ac:dyDescent="0.3">
      <c r="B294" s="999"/>
      <c r="C294" s="64" t="s">
        <v>10</v>
      </c>
      <c r="D294" s="64" t="s">
        <v>11</v>
      </c>
      <c r="E294" s="64" t="s">
        <v>11</v>
      </c>
      <c r="F294" s="64" t="s">
        <v>11</v>
      </c>
    </row>
    <row r="295" spans="2:6" ht="23.25" customHeight="1" thickBot="1" x14ac:dyDescent="0.3">
      <c r="B295" s="65" t="s">
        <v>58</v>
      </c>
      <c r="C295" s="164"/>
      <c r="D295" s="164"/>
      <c r="E295" s="164"/>
      <c r="F295" s="164"/>
    </row>
    <row r="296" spans="2:6" ht="24" customHeight="1" thickBot="1" x14ac:dyDescent="0.3">
      <c r="B296" s="65" t="s">
        <v>59</v>
      </c>
      <c r="C296" s="165"/>
      <c r="D296" s="164"/>
      <c r="E296" s="164"/>
      <c r="F296" s="164"/>
    </row>
    <row r="297" spans="2:6" ht="27.75" customHeight="1" thickBot="1" x14ac:dyDescent="0.3">
      <c r="B297" s="66" t="s">
        <v>40</v>
      </c>
      <c r="C297" s="165">
        <v>0</v>
      </c>
      <c r="D297" s="165">
        <v>0</v>
      </c>
      <c r="E297" s="165">
        <v>0</v>
      </c>
      <c r="F297" s="165">
        <v>0</v>
      </c>
    </row>
    <row r="298" spans="2:6" ht="15.75" thickBot="1" x14ac:dyDescent="0.3">
      <c r="B298" s="67" t="s">
        <v>61</v>
      </c>
      <c r="C298" s="1009" t="s">
        <v>130</v>
      </c>
      <c r="D298" s="1010"/>
      <c r="E298" s="1010"/>
      <c r="F298" s="1011"/>
    </row>
    <row r="299" spans="2:6" ht="25.5" customHeight="1" thickBot="1" x14ac:dyDescent="0.3">
      <c r="B299" s="160" t="s">
        <v>129</v>
      </c>
      <c r="C299" s="992" t="s">
        <v>106</v>
      </c>
      <c r="D299" s="993"/>
      <c r="E299" s="993"/>
      <c r="F299" s="994"/>
    </row>
    <row r="300" spans="2:6" ht="15.75" thickBot="1" x14ac:dyDescent="0.3">
      <c r="B300" s="62" t="s">
        <v>17</v>
      </c>
      <c r="C300" s="983" t="s">
        <v>106</v>
      </c>
      <c r="D300" s="984"/>
      <c r="E300" s="984"/>
      <c r="F300" s="985"/>
    </row>
    <row r="301" spans="2:6" ht="15.75" thickBot="1" x14ac:dyDescent="0.3">
      <c r="B301" s="62" t="s">
        <v>18</v>
      </c>
      <c r="C301" s="995" t="s">
        <v>106</v>
      </c>
      <c r="D301" s="996"/>
      <c r="E301" s="996"/>
      <c r="F301" s="997"/>
    </row>
    <row r="302" spans="2:6" x14ac:dyDescent="0.25">
      <c r="B302" s="998"/>
      <c r="C302" s="63">
        <v>2018</v>
      </c>
      <c r="D302" s="63">
        <v>2019</v>
      </c>
      <c r="E302" s="63">
        <v>2020</v>
      </c>
      <c r="F302" s="63">
        <v>2021</v>
      </c>
    </row>
    <row r="303" spans="2:6" ht="15.75" thickBot="1" x14ac:dyDescent="0.3">
      <c r="B303" s="999"/>
      <c r="C303" s="64" t="s">
        <v>10</v>
      </c>
      <c r="D303" s="64" t="s">
        <v>11</v>
      </c>
      <c r="E303" s="64" t="s">
        <v>11</v>
      </c>
      <c r="F303" s="64" t="s">
        <v>11</v>
      </c>
    </row>
    <row r="304" spans="2:6" ht="15.75" thickBot="1" x14ac:dyDescent="0.3">
      <c r="B304" s="62" t="s">
        <v>19</v>
      </c>
      <c r="C304" s="161"/>
      <c r="D304" s="161"/>
      <c r="E304" s="161"/>
      <c r="F304" s="161"/>
    </row>
    <row r="305" spans="2:6" ht="26.25" customHeight="1" thickBot="1" x14ac:dyDescent="0.3">
      <c r="B305" s="62" t="s">
        <v>20</v>
      </c>
      <c r="C305" s="161"/>
      <c r="D305" s="161"/>
      <c r="E305" s="161"/>
      <c r="F305" s="161"/>
    </row>
    <row r="306" spans="2:6" ht="15.75" thickBot="1" x14ac:dyDescent="0.3">
      <c r="B306" s="62" t="s">
        <v>21</v>
      </c>
      <c r="C306" s="161" t="e">
        <v>#DIV/0!</v>
      </c>
      <c r="D306" s="161" t="e">
        <v>#DIV/0!</v>
      </c>
      <c r="E306" s="161" t="e">
        <v>#DIV/0!</v>
      </c>
      <c r="F306" s="161" t="e">
        <v>#DIV/0!</v>
      </c>
    </row>
    <row r="307" spans="2:6" ht="15.75" thickBot="1" x14ac:dyDescent="0.3">
      <c r="B307" s="62" t="s">
        <v>22</v>
      </c>
      <c r="C307" s="636" t="s">
        <v>23</v>
      </c>
      <c r="D307" s="162" t="e">
        <v>#DIV/0!</v>
      </c>
      <c r="E307" s="162" t="e">
        <v>#DIV/0!</v>
      </c>
      <c r="F307" s="162" t="e">
        <v>#DIV/0!</v>
      </c>
    </row>
    <row r="308" spans="2:6" ht="15.75" thickBot="1" x14ac:dyDescent="0.3">
      <c r="B308" s="62" t="s">
        <v>24</v>
      </c>
      <c r="C308" s="636" t="s">
        <v>23</v>
      </c>
      <c r="D308" s="162" t="e">
        <v>#DIV/0!</v>
      </c>
      <c r="E308" s="162" t="e">
        <v>#DIV/0!</v>
      </c>
      <c r="F308" s="162" t="e">
        <v>#DIV/0!</v>
      </c>
    </row>
    <row r="309" spans="2:6" ht="24.75" customHeight="1" thickBot="1" x14ac:dyDescent="0.3">
      <c r="B309" s="62" t="s">
        <v>25</v>
      </c>
      <c r="C309" s="636" t="s">
        <v>23</v>
      </c>
      <c r="D309" s="162" t="e">
        <v>#DIV/0!</v>
      </c>
      <c r="E309" s="162" t="e">
        <v>#DIV/0!</v>
      </c>
      <c r="F309" s="162" t="e">
        <v>#DIV/0!</v>
      </c>
    </row>
    <row r="310" spans="2:6" ht="15.75" thickBot="1" x14ac:dyDescent="0.3">
      <c r="B310" s="1000" t="s">
        <v>1079</v>
      </c>
      <c r="C310" s="1001"/>
      <c r="D310" s="1001"/>
      <c r="E310" s="1001"/>
      <c r="F310" s="1002"/>
    </row>
    <row r="311" spans="2:6" x14ac:dyDescent="0.25">
      <c r="B311" s="998"/>
      <c r="C311" s="63">
        <v>2018</v>
      </c>
      <c r="D311" s="63">
        <v>2019</v>
      </c>
      <c r="E311" s="63">
        <v>2020</v>
      </c>
      <c r="F311" s="63">
        <v>2021</v>
      </c>
    </row>
    <row r="312" spans="2:6" ht="15.75" thickBot="1" x14ac:dyDescent="0.3">
      <c r="B312" s="999"/>
      <c r="C312" s="64" t="s">
        <v>10</v>
      </c>
      <c r="D312" s="64" t="s">
        <v>11</v>
      </c>
      <c r="E312" s="64" t="s">
        <v>11</v>
      </c>
      <c r="F312" s="64" t="s">
        <v>11</v>
      </c>
    </row>
    <row r="313" spans="2:6" ht="27" customHeight="1" thickBot="1" x14ac:dyDescent="0.3">
      <c r="B313" s="65" t="s">
        <v>58</v>
      </c>
      <c r="C313" s="164"/>
      <c r="D313" s="164"/>
      <c r="E313" s="164"/>
      <c r="F313" s="164"/>
    </row>
    <row r="314" spans="2:6" ht="25.5" customHeight="1" thickBot="1" x14ac:dyDescent="0.3">
      <c r="B314" s="65" t="s">
        <v>59</v>
      </c>
      <c r="C314" s="165"/>
      <c r="D314" s="164"/>
      <c r="E314" s="164"/>
      <c r="F314" s="164"/>
    </row>
    <row r="315" spans="2:6" ht="22.5" customHeight="1" thickBot="1" x14ac:dyDescent="0.3">
      <c r="B315" s="66" t="s">
        <v>74</v>
      </c>
      <c r="C315" s="165">
        <v>0</v>
      </c>
      <c r="D315" s="165">
        <v>0</v>
      </c>
      <c r="E315" s="165">
        <v>0</v>
      </c>
      <c r="F315" s="165">
        <v>0</v>
      </c>
    </row>
    <row r="316" spans="2:6" ht="15.75" thickBot="1" x14ac:dyDescent="0.3">
      <c r="B316" s="989" t="s">
        <v>63</v>
      </c>
      <c r="C316" s="990"/>
      <c r="D316" s="990"/>
      <c r="E316" s="990"/>
      <c r="F316" s="991"/>
    </row>
    <row r="317" spans="2:6" ht="15.75" thickBot="1" x14ac:dyDescent="0.3">
      <c r="B317" s="989" t="s">
        <v>64</v>
      </c>
      <c r="C317" s="990"/>
      <c r="D317" s="990"/>
      <c r="E317" s="990"/>
      <c r="F317" s="991"/>
    </row>
    <row r="318" spans="2:6" ht="15.75" thickBot="1" x14ac:dyDescent="0.3">
      <c r="B318" s="67" t="s">
        <v>61</v>
      </c>
      <c r="C318" s="1009" t="s">
        <v>130</v>
      </c>
      <c r="D318" s="1010"/>
      <c r="E318" s="1010"/>
      <c r="F318" s="1011"/>
    </row>
    <row r="319" spans="2:6" ht="15.75" thickBot="1" x14ac:dyDescent="0.3">
      <c r="B319" s="160" t="s">
        <v>16</v>
      </c>
      <c r="C319" s="992" t="s">
        <v>106</v>
      </c>
      <c r="D319" s="993"/>
      <c r="E319" s="993"/>
      <c r="F319" s="994"/>
    </row>
    <row r="320" spans="2:6" ht="15.75" thickBot="1" x14ac:dyDescent="0.3">
      <c r="B320" s="62" t="s">
        <v>17</v>
      </c>
      <c r="C320" s="983" t="s">
        <v>106</v>
      </c>
      <c r="D320" s="984"/>
      <c r="E320" s="984"/>
      <c r="F320" s="985"/>
    </row>
    <row r="321" spans="2:6" ht="15.75" thickBot="1" x14ac:dyDescent="0.3">
      <c r="B321" s="62" t="s">
        <v>18</v>
      </c>
      <c r="C321" s="995" t="s">
        <v>106</v>
      </c>
      <c r="D321" s="996"/>
      <c r="E321" s="996"/>
      <c r="F321" s="997"/>
    </row>
    <row r="322" spans="2:6" x14ac:dyDescent="0.25">
      <c r="B322" s="998"/>
      <c r="C322" s="63">
        <v>2018</v>
      </c>
      <c r="D322" s="63">
        <v>2019</v>
      </c>
      <c r="E322" s="63">
        <v>2020</v>
      </c>
      <c r="F322" s="63">
        <v>2021</v>
      </c>
    </row>
    <row r="323" spans="2:6" ht="15.75" thickBot="1" x14ac:dyDescent="0.3">
      <c r="B323" s="999"/>
      <c r="C323" s="64" t="s">
        <v>10</v>
      </c>
      <c r="D323" s="64" t="s">
        <v>11</v>
      </c>
      <c r="E323" s="64" t="s">
        <v>11</v>
      </c>
      <c r="F323" s="64" t="s">
        <v>11</v>
      </c>
    </row>
    <row r="324" spans="2:6" ht="15.75" thickBot="1" x14ac:dyDescent="0.3">
      <c r="B324" s="62" t="s">
        <v>19</v>
      </c>
      <c r="C324" s="161"/>
      <c r="D324" s="161"/>
      <c r="E324" s="161"/>
      <c r="F324" s="161"/>
    </row>
    <row r="325" spans="2:6" ht="15.75" thickBot="1" x14ac:dyDescent="0.3">
      <c r="B325" s="62" t="s">
        <v>20</v>
      </c>
      <c r="C325" s="161"/>
      <c r="D325" s="161"/>
      <c r="E325" s="161"/>
      <c r="F325" s="161"/>
    </row>
    <row r="326" spans="2:6" ht="15.75" thickBot="1" x14ac:dyDescent="0.3">
      <c r="B326" s="62" t="s">
        <v>21</v>
      </c>
      <c r="C326" s="161" t="e">
        <v>#DIV/0!</v>
      </c>
      <c r="D326" s="161" t="e">
        <v>#DIV/0!</v>
      </c>
      <c r="E326" s="161" t="e">
        <v>#DIV/0!</v>
      </c>
      <c r="F326" s="161" t="e">
        <v>#DIV/0!</v>
      </c>
    </row>
    <row r="327" spans="2:6" ht="15.75" thickBot="1" x14ac:dyDescent="0.3">
      <c r="B327" s="62" t="s">
        <v>22</v>
      </c>
      <c r="C327" s="636" t="s">
        <v>23</v>
      </c>
      <c r="D327" s="162" t="e">
        <v>#DIV/0!</v>
      </c>
      <c r="E327" s="162" t="e">
        <v>#DIV/0!</v>
      </c>
      <c r="F327" s="162" t="e">
        <v>#DIV/0!</v>
      </c>
    </row>
    <row r="328" spans="2:6" ht="15.75" thickBot="1" x14ac:dyDescent="0.3">
      <c r="B328" s="62" t="s">
        <v>24</v>
      </c>
      <c r="C328" s="636" t="s">
        <v>23</v>
      </c>
      <c r="D328" s="162" t="e">
        <v>#DIV/0!</v>
      </c>
      <c r="E328" s="162" t="e">
        <v>#DIV/0!</v>
      </c>
      <c r="F328" s="162" t="e">
        <v>#DIV/0!</v>
      </c>
    </row>
    <row r="329" spans="2:6" ht="15.75" thickBot="1" x14ac:dyDescent="0.3">
      <c r="B329" s="62" t="s">
        <v>25</v>
      </c>
      <c r="C329" s="636" t="s">
        <v>23</v>
      </c>
      <c r="D329" s="162" t="e">
        <v>#DIV/0!</v>
      </c>
      <c r="E329" s="162" t="e">
        <v>#DIV/0!</v>
      </c>
      <c r="F329" s="162" t="e">
        <v>#DIV/0!</v>
      </c>
    </row>
    <row r="330" spans="2:6" ht="15.75" thickBot="1" x14ac:dyDescent="0.3">
      <c r="B330" s="1000" t="s">
        <v>1075</v>
      </c>
      <c r="C330" s="1001"/>
      <c r="D330" s="1001"/>
      <c r="E330" s="1001"/>
      <c r="F330" s="1002"/>
    </row>
    <row r="331" spans="2:6" x14ac:dyDescent="0.25">
      <c r="B331" s="998"/>
      <c r="C331" s="63">
        <v>2018</v>
      </c>
      <c r="D331" s="63">
        <v>2019</v>
      </c>
      <c r="E331" s="63">
        <v>2020</v>
      </c>
      <c r="F331" s="63">
        <v>2021</v>
      </c>
    </row>
    <row r="332" spans="2:6" ht="15.75" thickBot="1" x14ac:dyDescent="0.3">
      <c r="B332" s="999"/>
      <c r="C332" s="64" t="s">
        <v>10</v>
      </c>
      <c r="D332" s="64" t="s">
        <v>11</v>
      </c>
      <c r="E332" s="64" t="s">
        <v>11</v>
      </c>
      <c r="F332" s="64" t="s">
        <v>11</v>
      </c>
    </row>
    <row r="333" spans="2:6" ht="27.75" customHeight="1" thickBot="1" x14ac:dyDescent="0.3">
      <c r="B333" s="65" t="s">
        <v>58</v>
      </c>
      <c r="C333" s="164"/>
      <c r="D333" s="164"/>
      <c r="E333" s="164"/>
      <c r="F333" s="164"/>
    </row>
    <row r="334" spans="2:6" ht="25.5" customHeight="1" thickBot="1" x14ac:dyDescent="0.3">
      <c r="B334" s="65" t="s">
        <v>59</v>
      </c>
      <c r="C334" s="165"/>
      <c r="D334" s="164"/>
      <c r="E334" s="164"/>
      <c r="F334" s="164"/>
    </row>
    <row r="335" spans="2:6" ht="28.5" customHeight="1" thickBot="1" x14ac:dyDescent="0.3">
      <c r="B335" s="66" t="s">
        <v>40</v>
      </c>
      <c r="C335" s="165">
        <v>0</v>
      </c>
      <c r="D335" s="165">
        <v>0</v>
      </c>
      <c r="E335" s="165">
        <v>0</v>
      </c>
      <c r="F335" s="165">
        <v>0</v>
      </c>
    </row>
    <row r="336" spans="2:6" ht="15.75" thickBot="1" x14ac:dyDescent="0.3">
      <c r="B336" s="67" t="s">
        <v>61</v>
      </c>
      <c r="C336" s="1009" t="s">
        <v>130</v>
      </c>
      <c r="D336" s="1010"/>
      <c r="E336" s="1010"/>
      <c r="F336" s="1011"/>
    </row>
    <row r="337" spans="2:6" ht="23.25" customHeight="1" thickBot="1" x14ac:dyDescent="0.3">
      <c r="B337" s="160" t="s">
        <v>129</v>
      </c>
      <c r="C337" s="992" t="s">
        <v>106</v>
      </c>
      <c r="D337" s="993"/>
      <c r="E337" s="993"/>
      <c r="F337" s="994"/>
    </row>
    <row r="338" spans="2:6" ht="15.75" thickBot="1" x14ac:dyDescent="0.3">
      <c r="B338" s="62" t="s">
        <v>17</v>
      </c>
      <c r="C338" s="983" t="s">
        <v>106</v>
      </c>
      <c r="D338" s="984"/>
      <c r="E338" s="984"/>
      <c r="F338" s="985"/>
    </row>
    <row r="339" spans="2:6" ht="15.75" thickBot="1" x14ac:dyDescent="0.3">
      <c r="B339" s="62" t="s">
        <v>18</v>
      </c>
      <c r="C339" s="995" t="s">
        <v>106</v>
      </c>
      <c r="D339" s="996"/>
      <c r="E339" s="996"/>
      <c r="F339" s="997"/>
    </row>
    <row r="340" spans="2:6" x14ac:dyDescent="0.25">
      <c r="B340" s="998"/>
      <c r="C340" s="63">
        <v>2018</v>
      </c>
      <c r="D340" s="63">
        <v>2019</v>
      </c>
      <c r="E340" s="63">
        <v>2020</v>
      </c>
      <c r="F340" s="63">
        <v>2021</v>
      </c>
    </row>
    <row r="341" spans="2:6" ht="15.75" thickBot="1" x14ac:dyDescent="0.3">
      <c r="B341" s="999"/>
      <c r="C341" s="64" t="s">
        <v>10</v>
      </c>
      <c r="D341" s="64" t="s">
        <v>11</v>
      </c>
      <c r="E341" s="64" t="s">
        <v>11</v>
      </c>
      <c r="F341" s="64" t="s">
        <v>11</v>
      </c>
    </row>
    <row r="342" spans="2:6" ht="15.75" thickBot="1" x14ac:dyDescent="0.3">
      <c r="B342" s="62" t="s">
        <v>19</v>
      </c>
      <c r="C342" s="161"/>
      <c r="D342" s="161"/>
      <c r="E342" s="161"/>
      <c r="F342" s="161"/>
    </row>
    <row r="343" spans="2:6" ht="21.75" customHeight="1" thickBot="1" x14ac:dyDescent="0.3">
      <c r="B343" s="62" t="s">
        <v>20</v>
      </c>
      <c r="C343" s="161"/>
      <c r="D343" s="161"/>
      <c r="E343" s="161"/>
      <c r="F343" s="161"/>
    </row>
    <row r="344" spans="2:6" ht="15.75" thickBot="1" x14ac:dyDescent="0.3">
      <c r="B344" s="62" t="s">
        <v>21</v>
      </c>
      <c r="C344" s="161" t="e">
        <v>#DIV/0!</v>
      </c>
      <c r="D344" s="161" t="e">
        <v>#DIV/0!</v>
      </c>
      <c r="E344" s="161" t="e">
        <v>#DIV/0!</v>
      </c>
      <c r="F344" s="161" t="e">
        <v>#DIV/0!</v>
      </c>
    </row>
    <row r="345" spans="2:6" ht="15.75" thickBot="1" x14ac:dyDescent="0.3">
      <c r="B345" s="62" t="s">
        <v>22</v>
      </c>
      <c r="C345" s="636" t="s">
        <v>23</v>
      </c>
      <c r="D345" s="162" t="e">
        <v>#DIV/0!</v>
      </c>
      <c r="E345" s="162" t="e">
        <v>#DIV/0!</v>
      </c>
      <c r="F345" s="162" t="e">
        <v>#DIV/0!</v>
      </c>
    </row>
    <row r="346" spans="2:6" ht="15.75" thickBot="1" x14ac:dyDescent="0.3">
      <c r="B346" s="62" t="s">
        <v>24</v>
      </c>
      <c r="C346" s="636" t="s">
        <v>23</v>
      </c>
      <c r="D346" s="162" t="e">
        <v>#DIV/0!</v>
      </c>
      <c r="E346" s="162" t="e">
        <v>#DIV/0!</v>
      </c>
      <c r="F346" s="162" t="e">
        <v>#DIV/0!</v>
      </c>
    </row>
    <row r="347" spans="2:6" ht="15.75" thickBot="1" x14ac:dyDescent="0.3">
      <c r="B347" s="62" t="s">
        <v>25</v>
      </c>
      <c r="C347" s="636" t="s">
        <v>23</v>
      </c>
      <c r="D347" s="162" t="e">
        <v>#DIV/0!</v>
      </c>
      <c r="E347" s="162" t="e">
        <v>#DIV/0!</v>
      </c>
      <c r="F347" s="162" t="e">
        <v>#DIV/0!</v>
      </c>
    </row>
    <row r="348" spans="2:6" ht="15.75" thickBot="1" x14ac:dyDescent="0.3">
      <c r="B348" s="1000" t="s">
        <v>1079</v>
      </c>
      <c r="C348" s="1001"/>
      <c r="D348" s="1001"/>
      <c r="E348" s="1001"/>
      <c r="F348" s="1002"/>
    </row>
    <row r="349" spans="2:6" x14ac:dyDescent="0.25">
      <c r="B349" s="998"/>
      <c r="C349" s="63">
        <v>2018</v>
      </c>
      <c r="D349" s="63">
        <v>2019</v>
      </c>
      <c r="E349" s="63">
        <v>2020</v>
      </c>
      <c r="F349" s="63">
        <v>2021</v>
      </c>
    </row>
    <row r="350" spans="2:6" ht="15.75" thickBot="1" x14ac:dyDescent="0.3">
      <c r="B350" s="999"/>
      <c r="C350" s="64" t="s">
        <v>10</v>
      </c>
      <c r="D350" s="64" t="s">
        <v>11</v>
      </c>
      <c r="E350" s="64" t="s">
        <v>11</v>
      </c>
      <c r="F350" s="64" t="s">
        <v>11</v>
      </c>
    </row>
    <row r="351" spans="2:6" ht="31.5" customHeight="1" thickBot="1" x14ac:dyDescent="0.3">
      <c r="B351" s="65" t="s">
        <v>58</v>
      </c>
      <c r="C351" s="164"/>
      <c r="D351" s="164"/>
      <c r="E351" s="164"/>
      <c r="F351" s="164"/>
    </row>
    <row r="352" spans="2:6" ht="31.5" customHeight="1" thickBot="1" x14ac:dyDescent="0.3">
      <c r="B352" s="65" t="s">
        <v>59</v>
      </c>
      <c r="C352" s="165"/>
      <c r="D352" s="164"/>
      <c r="E352" s="164"/>
      <c r="F352" s="164"/>
    </row>
    <row r="353" spans="2:12" ht="35.25" customHeight="1" thickBot="1" x14ac:dyDescent="0.3">
      <c r="B353" s="66" t="s">
        <v>74</v>
      </c>
      <c r="C353" s="165">
        <v>0</v>
      </c>
      <c r="D353" s="165">
        <v>0</v>
      </c>
      <c r="E353" s="165">
        <v>0</v>
      </c>
      <c r="F353" s="165">
        <v>0</v>
      </c>
    </row>
    <row r="354" spans="2:12" ht="15.75" thickBot="1" x14ac:dyDescent="0.3">
      <c r="B354" s="175"/>
      <c r="C354" s="176"/>
      <c r="D354" s="176"/>
      <c r="E354" s="176"/>
      <c r="F354" s="176"/>
    </row>
    <row r="355" spans="2:12" ht="30.75" thickBot="1" x14ac:dyDescent="0.3">
      <c r="B355" s="158" t="s">
        <v>82</v>
      </c>
      <c r="C355" s="177">
        <v>1520960</v>
      </c>
      <c r="D355" s="177">
        <v>1550000</v>
      </c>
      <c r="E355" s="177">
        <v>1599999.5</v>
      </c>
      <c r="F355" s="177">
        <v>1605000</v>
      </c>
    </row>
    <row r="356" spans="2:12" ht="30.75" thickBot="1" x14ac:dyDescent="0.3">
      <c r="B356" s="158" t="s">
        <v>83</v>
      </c>
      <c r="C356" s="177">
        <v>1520960</v>
      </c>
      <c r="D356" s="177">
        <v>1550000</v>
      </c>
      <c r="E356" s="177">
        <v>1599999.5</v>
      </c>
      <c r="F356" s="177">
        <v>1605000</v>
      </c>
    </row>
    <row r="357" spans="2:12" ht="30.75" thickBot="1" x14ac:dyDescent="0.3">
      <c r="B357" s="178" t="s">
        <v>84</v>
      </c>
      <c r="C357" s="179"/>
      <c r="D357" s="180">
        <v>1.9093204292025989E-2</v>
      </c>
      <c r="E357" s="180">
        <v>3.2257741935483919E-2</v>
      </c>
      <c r="F357" s="180">
        <v>3.1253134766604518E-3</v>
      </c>
    </row>
    <row r="358" spans="2:12" ht="15.75" thickBot="1" x14ac:dyDescent="0.3">
      <c r="B358" s="65" t="s">
        <v>26</v>
      </c>
      <c r="C358" s="164">
        <v>897000</v>
      </c>
      <c r="D358" s="164">
        <v>899000</v>
      </c>
      <c r="E358" s="164">
        <v>899000</v>
      </c>
      <c r="F358" s="164">
        <v>899000</v>
      </c>
    </row>
    <row r="359" spans="2:12" ht="15.75" thickBot="1" x14ac:dyDescent="0.3">
      <c r="B359" s="181" t="s">
        <v>85</v>
      </c>
      <c r="C359" s="165"/>
      <c r="D359" s="182">
        <v>2.2296544035673715E-3</v>
      </c>
      <c r="E359" s="182">
        <v>0</v>
      </c>
      <c r="F359" s="182">
        <v>0</v>
      </c>
    </row>
    <row r="360" spans="2:12" ht="15.75" thickBot="1" x14ac:dyDescent="0.3">
      <c r="B360" s="65" t="s">
        <v>28</v>
      </c>
      <c r="C360" s="164">
        <v>155000</v>
      </c>
      <c r="D360" s="164">
        <v>153000</v>
      </c>
      <c r="E360" s="164">
        <v>153000</v>
      </c>
      <c r="F360" s="164">
        <v>153000</v>
      </c>
      <c r="H360" s="163"/>
      <c r="I360" s="163"/>
      <c r="J360" s="163"/>
      <c r="K360" s="163"/>
      <c r="L360" s="163"/>
    </row>
    <row r="361" spans="2:12" ht="15.75" thickBot="1" x14ac:dyDescent="0.3">
      <c r="B361" s="181" t="s">
        <v>86</v>
      </c>
      <c r="C361" s="165"/>
      <c r="D361" s="182">
        <v>-1.2903225806451646E-2</v>
      </c>
      <c r="E361" s="182">
        <v>0</v>
      </c>
      <c r="F361" s="182">
        <v>0</v>
      </c>
    </row>
    <row r="362" spans="2:12" ht="15.75" thickBot="1" x14ac:dyDescent="0.3">
      <c r="B362" s="65" t="s">
        <v>30</v>
      </c>
      <c r="C362" s="164">
        <v>422000</v>
      </c>
      <c r="D362" s="164">
        <v>422000</v>
      </c>
      <c r="E362" s="164">
        <v>478000</v>
      </c>
      <c r="F362" s="164">
        <v>483000</v>
      </c>
    </row>
    <row r="363" spans="2:12" ht="15.75" thickBot="1" x14ac:dyDescent="0.3">
      <c r="B363" s="181" t="s">
        <v>87</v>
      </c>
      <c r="C363" s="165"/>
      <c r="D363" s="182">
        <v>0</v>
      </c>
      <c r="E363" s="182">
        <v>0.13270142180094791</v>
      </c>
      <c r="F363" s="182">
        <v>1.0460251046025215E-2</v>
      </c>
    </row>
    <row r="364" spans="2:12" ht="15.75" thickBot="1" x14ac:dyDescent="0.3">
      <c r="B364" s="65" t="s">
        <v>32</v>
      </c>
      <c r="C364" s="164">
        <v>0</v>
      </c>
      <c r="D364" s="164">
        <v>0</v>
      </c>
      <c r="E364" s="164">
        <v>0</v>
      </c>
      <c r="F364" s="164">
        <v>0</v>
      </c>
    </row>
    <row r="365" spans="2:12" ht="15.75" thickBot="1" x14ac:dyDescent="0.3">
      <c r="B365" s="181" t="s">
        <v>88</v>
      </c>
      <c r="C365" s="165"/>
      <c r="D365" s="182" t="e">
        <v>#DIV/0!</v>
      </c>
      <c r="E365" s="182" t="e">
        <v>#DIV/0!</v>
      </c>
      <c r="F365" s="182" t="e">
        <v>#DIV/0!</v>
      </c>
    </row>
    <row r="366" spans="2:12" ht="15.75" thickBot="1" x14ac:dyDescent="0.3">
      <c r="B366" s="65" t="s">
        <v>34</v>
      </c>
      <c r="C366" s="164">
        <v>0</v>
      </c>
      <c r="D366" s="164">
        <v>0</v>
      </c>
      <c r="E366" s="164">
        <v>0</v>
      </c>
      <c r="F366" s="164">
        <v>0</v>
      </c>
    </row>
    <row r="367" spans="2:12" ht="15.75" thickBot="1" x14ac:dyDescent="0.3">
      <c r="B367" s="181" t="s">
        <v>89</v>
      </c>
      <c r="C367" s="165"/>
      <c r="D367" s="182" t="e">
        <v>#DIV/0!</v>
      </c>
      <c r="E367" s="182" t="e">
        <v>#DIV/0!</v>
      </c>
      <c r="F367" s="182" t="e">
        <v>#DIV/0!</v>
      </c>
    </row>
    <row r="368" spans="2:12" ht="15.75" thickBot="1" x14ac:dyDescent="0.3">
      <c r="B368" s="65" t="s">
        <v>36</v>
      </c>
      <c r="C368" s="164">
        <v>0</v>
      </c>
      <c r="D368" s="164">
        <v>0</v>
      </c>
      <c r="E368" s="164">
        <v>0</v>
      </c>
      <c r="F368" s="164">
        <v>0</v>
      </c>
    </row>
    <row r="369" spans="2:6" ht="15.75" thickBot="1" x14ac:dyDescent="0.3">
      <c r="B369" s="181" t="s">
        <v>90</v>
      </c>
      <c r="C369" s="165"/>
      <c r="D369" s="182" t="e">
        <v>#DIV/0!</v>
      </c>
      <c r="E369" s="182" t="e">
        <v>#DIV/0!</v>
      </c>
      <c r="F369" s="182" t="e">
        <v>#DIV/0!</v>
      </c>
    </row>
    <row r="370" spans="2:6" ht="15.75" thickBot="1" x14ac:dyDescent="0.3">
      <c r="B370" s="65" t="s">
        <v>38</v>
      </c>
      <c r="C370" s="164">
        <v>20000</v>
      </c>
      <c r="D370" s="164">
        <v>26000</v>
      </c>
      <c r="E370" s="164">
        <v>20000</v>
      </c>
      <c r="F370" s="164">
        <v>20000</v>
      </c>
    </row>
    <row r="371" spans="2:6" ht="15.75" thickBot="1" x14ac:dyDescent="0.3">
      <c r="B371" s="181" t="s">
        <v>91</v>
      </c>
      <c r="C371" s="165"/>
      <c r="D371" s="182">
        <v>0.30000000000000004</v>
      </c>
      <c r="E371" s="182">
        <v>-0.23076923076923073</v>
      </c>
      <c r="F371" s="182">
        <v>0</v>
      </c>
    </row>
    <row r="372" spans="2:6" ht="15.75" thickBot="1" x14ac:dyDescent="0.3">
      <c r="B372" s="65" t="s">
        <v>92</v>
      </c>
      <c r="C372" s="164">
        <v>0</v>
      </c>
      <c r="D372" s="164">
        <v>0</v>
      </c>
      <c r="E372" s="164">
        <v>0</v>
      </c>
      <c r="F372" s="164">
        <v>0</v>
      </c>
    </row>
    <row r="373" spans="2:6" ht="15.75" thickBot="1" x14ac:dyDescent="0.3">
      <c r="B373" s="181" t="s">
        <v>93</v>
      </c>
      <c r="C373" s="165"/>
      <c r="D373" s="182" t="e">
        <v>#DIV/0!</v>
      </c>
      <c r="E373" s="182" t="e">
        <v>#DIV/0!</v>
      </c>
      <c r="F373" s="182" t="e">
        <v>#DIV/0!</v>
      </c>
    </row>
    <row r="374" spans="2:6" ht="15.75" thickBot="1" x14ac:dyDescent="0.3">
      <c r="B374" s="65" t="s">
        <v>94</v>
      </c>
      <c r="C374" s="164">
        <v>26960</v>
      </c>
      <c r="D374" s="164">
        <v>50000</v>
      </c>
      <c r="E374" s="164">
        <v>49999.5</v>
      </c>
      <c r="F374" s="164">
        <v>50000</v>
      </c>
    </row>
    <row r="375" spans="2:6" ht="15.75" thickBot="1" x14ac:dyDescent="0.3">
      <c r="B375" s="181" t="s">
        <v>95</v>
      </c>
      <c r="C375" s="165"/>
      <c r="D375" s="182">
        <v>0.85459940652818989</v>
      </c>
      <c r="E375" s="182">
        <v>-9.9999999999544897E-6</v>
      </c>
      <c r="F375" s="182">
        <v>1.0000100000961964E-5</v>
      </c>
    </row>
    <row r="376" spans="2:6" ht="15.75" thickBot="1" x14ac:dyDescent="0.3">
      <c r="B376" s="166" t="s">
        <v>41</v>
      </c>
      <c r="C376" s="167">
        <v>0</v>
      </c>
      <c r="D376" s="167">
        <v>0</v>
      </c>
      <c r="E376" s="167">
        <v>0</v>
      </c>
      <c r="F376" s="167">
        <v>0</v>
      </c>
    </row>
    <row r="377" spans="2:6" ht="30.75" thickBot="1" x14ac:dyDescent="0.3">
      <c r="B377" s="183" t="s">
        <v>96</v>
      </c>
      <c r="C377" s="164">
        <v>913</v>
      </c>
      <c r="D377" s="164">
        <v>913</v>
      </c>
      <c r="E377" s="164">
        <v>913</v>
      </c>
      <c r="F377" s="164">
        <v>913</v>
      </c>
    </row>
    <row r="378" spans="2:6" ht="30.75" thickBot="1" x14ac:dyDescent="0.3">
      <c r="B378" s="183" t="s">
        <v>97</v>
      </c>
      <c r="C378" s="164" t="s">
        <v>1072</v>
      </c>
      <c r="D378" s="164" t="s">
        <v>1073</v>
      </c>
      <c r="E378" s="164" t="s">
        <v>1074</v>
      </c>
      <c r="F378" s="164" t="s">
        <v>1074</v>
      </c>
    </row>
  </sheetData>
  <mergeCells count="138">
    <mergeCell ref="B349:B350"/>
    <mergeCell ref="C336:F336"/>
    <mergeCell ref="C337:F337"/>
    <mergeCell ref="C338:F338"/>
    <mergeCell ref="C339:F339"/>
    <mergeCell ref="B340:B341"/>
    <mergeCell ref="B348:F348"/>
    <mergeCell ref="C319:F319"/>
    <mergeCell ref="C320:F320"/>
    <mergeCell ref="C321:F321"/>
    <mergeCell ref="B322:B323"/>
    <mergeCell ref="B330:F330"/>
    <mergeCell ref="B331:B332"/>
    <mergeCell ref="B302:B303"/>
    <mergeCell ref="B310:F310"/>
    <mergeCell ref="B311:B312"/>
    <mergeCell ref="B316:F316"/>
    <mergeCell ref="B317:F317"/>
    <mergeCell ref="C318:F318"/>
    <mergeCell ref="B292:F292"/>
    <mergeCell ref="B293:B294"/>
    <mergeCell ref="C298:F298"/>
    <mergeCell ref="C299:F299"/>
    <mergeCell ref="C300:F300"/>
    <mergeCell ref="C301:F301"/>
    <mergeCell ref="B279:F279"/>
    <mergeCell ref="C280:F280"/>
    <mergeCell ref="C281:F281"/>
    <mergeCell ref="C282:F282"/>
    <mergeCell ref="C283:F283"/>
    <mergeCell ref="B284:B285"/>
    <mergeCell ref="C256:F256"/>
    <mergeCell ref="C257:F257"/>
    <mergeCell ref="B258:B259"/>
    <mergeCell ref="B266:F266"/>
    <mergeCell ref="B267:B268"/>
    <mergeCell ref="B278:F278"/>
    <mergeCell ref="C232:F232"/>
    <mergeCell ref="B233:B234"/>
    <mergeCell ref="B241:B242"/>
    <mergeCell ref="B243:F243"/>
    <mergeCell ref="B244:B245"/>
    <mergeCell ref="C255:F255"/>
    <mergeCell ref="B222:F222"/>
    <mergeCell ref="B226:F226"/>
    <mergeCell ref="B227:F227"/>
    <mergeCell ref="B228:B229"/>
    <mergeCell ref="C230:F230"/>
    <mergeCell ref="C231:F231"/>
    <mergeCell ref="C205:F205"/>
    <mergeCell ref="C206:F206"/>
    <mergeCell ref="B207:B208"/>
    <mergeCell ref="B215:F215"/>
    <mergeCell ref="B216:B217"/>
    <mergeCell ref="C221:F221"/>
    <mergeCell ref="C188:F188"/>
    <mergeCell ref="B189:B190"/>
    <mergeCell ref="B197:F197"/>
    <mergeCell ref="B198:B199"/>
    <mergeCell ref="C203:F203"/>
    <mergeCell ref="C204:F204"/>
    <mergeCell ref="C175:F175"/>
    <mergeCell ref="C176:F176"/>
    <mergeCell ref="B177:B178"/>
    <mergeCell ref="C185:F185"/>
    <mergeCell ref="C186:F186"/>
    <mergeCell ref="C187:F187"/>
    <mergeCell ref="C162:F162"/>
    <mergeCell ref="C163:F163"/>
    <mergeCell ref="C164:F164"/>
    <mergeCell ref="B165:B166"/>
    <mergeCell ref="C173:F173"/>
    <mergeCell ref="C174:F174"/>
    <mergeCell ref="C149:F149"/>
    <mergeCell ref="C150:F150"/>
    <mergeCell ref="C151:F151"/>
    <mergeCell ref="C152:F152"/>
    <mergeCell ref="B153:B154"/>
    <mergeCell ref="C161:F161"/>
    <mergeCell ref="C132:F132"/>
    <mergeCell ref="B133:B134"/>
    <mergeCell ref="B141:F141"/>
    <mergeCell ref="B142:B143"/>
    <mergeCell ref="B147:F147"/>
    <mergeCell ref="B148:F148"/>
    <mergeCell ref="B121:B122"/>
    <mergeCell ref="B126:B128"/>
    <mergeCell ref="C126:F128"/>
    <mergeCell ref="C129:F129"/>
    <mergeCell ref="C130:F130"/>
    <mergeCell ref="C131:F131"/>
    <mergeCell ref="C108:F108"/>
    <mergeCell ref="C109:F109"/>
    <mergeCell ref="C110:F110"/>
    <mergeCell ref="C111:F111"/>
    <mergeCell ref="B112:B113"/>
    <mergeCell ref="B120:F120"/>
    <mergeCell ref="B88:B89"/>
    <mergeCell ref="C96:F96"/>
    <mergeCell ref="C97:F97"/>
    <mergeCell ref="C98:F98"/>
    <mergeCell ref="C99:F99"/>
    <mergeCell ref="B100:B101"/>
    <mergeCell ref="C75:F75"/>
    <mergeCell ref="B76:B77"/>
    <mergeCell ref="C84:F84"/>
    <mergeCell ref="C85:F85"/>
    <mergeCell ref="C86:F86"/>
    <mergeCell ref="C87:F87"/>
    <mergeCell ref="B70:F70"/>
    <mergeCell ref="B71:F71"/>
    <mergeCell ref="C72:F72"/>
    <mergeCell ref="C73:F73"/>
    <mergeCell ref="C74:F74"/>
    <mergeCell ref="B36:B37"/>
    <mergeCell ref="C47:F47"/>
    <mergeCell ref="C48:F48"/>
    <mergeCell ref="C49:F49"/>
    <mergeCell ref="B51:B52"/>
    <mergeCell ref="B58:F58"/>
    <mergeCell ref="B27:B28"/>
    <mergeCell ref="B35:F35"/>
    <mergeCell ref="B8:F10"/>
    <mergeCell ref="C11:F11"/>
    <mergeCell ref="B12:B13"/>
    <mergeCell ref="C17:F17"/>
    <mergeCell ref="B18:F18"/>
    <mergeCell ref="B22:F22"/>
    <mergeCell ref="B59:B60"/>
    <mergeCell ref="B2:F2"/>
    <mergeCell ref="C4:F4"/>
    <mergeCell ref="C5:F5"/>
    <mergeCell ref="C6:F6"/>
    <mergeCell ref="B7:F7"/>
    <mergeCell ref="B23:F23"/>
    <mergeCell ref="C24:F24"/>
    <mergeCell ref="C25:F25"/>
    <mergeCell ref="C26:F26"/>
  </mergeCells>
  <pageMargins left="0.7" right="0.7" top="0.75" bottom="0.75" header="0.3" footer="0.3"/>
  <pageSetup paperSize="9" orientation="portrait" horizontalDpi="4294967293"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173"/>
  <sheetViews>
    <sheetView topLeftCell="A154" zoomScale="120" zoomScaleNormal="120" workbookViewId="0">
      <selection activeCell="E177" sqref="E177"/>
    </sheetView>
  </sheetViews>
  <sheetFormatPr defaultRowHeight="15" x14ac:dyDescent="0.25"/>
  <cols>
    <col min="1" max="1" width="9.140625" style="152"/>
    <col min="2" max="2" width="32.42578125" style="152" customWidth="1"/>
    <col min="3" max="4" width="12.7109375" style="152" customWidth="1"/>
    <col min="5" max="5" width="23" style="152" customWidth="1"/>
    <col min="6" max="6" width="31.28515625" style="152" customWidth="1"/>
    <col min="7" max="7" width="13.28515625" style="152" customWidth="1"/>
    <col min="8" max="8" width="18.42578125" style="152" customWidth="1"/>
    <col min="9" max="9" width="11" style="152" customWidth="1"/>
    <col min="10" max="10" width="11" style="152" bestFit="1" customWidth="1"/>
    <col min="11" max="16384" width="9.140625" style="152"/>
  </cols>
  <sheetData>
    <row r="2" spans="2:7" ht="18" customHeight="1" x14ac:dyDescent="0.25">
      <c r="B2" s="762" t="s">
        <v>0</v>
      </c>
      <c r="C2" s="762"/>
      <c r="D2" s="762"/>
      <c r="E2" s="762"/>
      <c r="F2" s="762"/>
      <c r="G2" s="1"/>
    </row>
    <row r="4" spans="2:7" s="90" customFormat="1" ht="15.75" thickBot="1" x14ac:dyDescent="0.3">
      <c r="B4" s="262" t="s">
        <v>2</v>
      </c>
      <c r="C4" s="1737" t="s">
        <v>521</v>
      </c>
      <c r="D4" s="1737"/>
      <c r="E4" s="1737"/>
      <c r="F4" s="1738"/>
    </row>
    <row r="5" spans="2:7" s="90" customFormat="1" ht="15.75" thickBot="1" x14ac:dyDescent="0.3">
      <c r="B5" s="263" t="s">
        <v>3</v>
      </c>
      <c r="C5" s="1048" t="s">
        <v>4</v>
      </c>
      <c r="D5" s="981"/>
      <c r="E5" s="981"/>
      <c r="F5" s="1739"/>
    </row>
    <row r="6" spans="2:7" s="90" customFormat="1" ht="15.75" thickBot="1" x14ac:dyDescent="0.3">
      <c r="B6" s="263" t="s">
        <v>5</v>
      </c>
      <c r="C6" s="983" t="s">
        <v>6</v>
      </c>
      <c r="D6" s="984"/>
      <c r="E6" s="984"/>
      <c r="F6" s="1740"/>
    </row>
    <row r="7" spans="2:7" s="90" customFormat="1" ht="15.75" thickBot="1" x14ac:dyDescent="0.3">
      <c r="B7" s="1741" t="s">
        <v>7</v>
      </c>
      <c r="C7" s="987"/>
      <c r="D7" s="987"/>
      <c r="E7" s="987"/>
      <c r="F7" s="1742"/>
    </row>
    <row r="8" spans="2:7" s="90" customFormat="1" ht="117.75" customHeight="1" thickBot="1" x14ac:dyDescent="0.3">
      <c r="B8" s="1743" t="s">
        <v>522</v>
      </c>
      <c r="C8" s="1744"/>
      <c r="D8" s="1744"/>
      <c r="E8" s="1744"/>
      <c r="F8" s="1745"/>
    </row>
    <row r="9" spans="2:7" s="90" customFormat="1" ht="15.75" thickBot="1" x14ac:dyDescent="0.3">
      <c r="B9" s="264"/>
      <c r="C9" s="265"/>
      <c r="D9" s="265"/>
      <c r="E9" s="265"/>
      <c r="F9" s="266"/>
    </row>
    <row r="10" spans="2:7" s="90" customFormat="1" ht="90" customHeight="1" thickBot="1" x14ac:dyDescent="0.3">
      <c r="B10" s="267" t="s">
        <v>8</v>
      </c>
      <c r="C10" s="1721" t="s">
        <v>523</v>
      </c>
      <c r="D10" s="1722"/>
      <c r="E10" s="1722"/>
      <c r="F10" s="1723"/>
    </row>
    <row r="11" spans="2:7" s="90" customFormat="1" ht="23.25" customHeight="1" x14ac:dyDescent="0.25">
      <c r="B11" s="1725" t="s">
        <v>9</v>
      </c>
      <c r="C11" s="155">
        <v>2018</v>
      </c>
      <c r="D11" s="155">
        <v>2019</v>
      </c>
      <c r="E11" s="155">
        <v>2020</v>
      </c>
      <c r="F11" s="268">
        <v>2021</v>
      </c>
    </row>
    <row r="12" spans="2:7" s="90" customFormat="1" ht="15.75" thickBot="1" x14ac:dyDescent="0.3">
      <c r="B12" s="1726"/>
      <c r="C12" s="156" t="s">
        <v>10</v>
      </c>
      <c r="D12" s="156" t="s">
        <v>11</v>
      </c>
      <c r="E12" s="156" t="s">
        <v>11</v>
      </c>
      <c r="F12" s="269" t="s">
        <v>11</v>
      </c>
    </row>
    <row r="13" spans="2:7" s="90" customFormat="1" ht="30.75" thickBot="1" x14ac:dyDescent="0.3">
      <c r="B13" s="270" t="s">
        <v>524</v>
      </c>
      <c r="C13" s="157">
        <v>0</v>
      </c>
      <c r="D13" s="157" t="s">
        <v>124</v>
      </c>
      <c r="E13" s="157" t="s">
        <v>124</v>
      </c>
      <c r="F13" s="271" t="s">
        <v>124</v>
      </c>
    </row>
    <row r="14" spans="2:7" s="90" customFormat="1" ht="30.75" thickBot="1" x14ac:dyDescent="0.3">
      <c r="B14" s="272" t="s">
        <v>525</v>
      </c>
      <c r="C14" s="203">
        <f>3*(32+273+42+240)</f>
        <v>1761</v>
      </c>
      <c r="D14" s="157">
        <v>0.4</v>
      </c>
      <c r="E14" s="157">
        <v>0.4</v>
      </c>
      <c r="F14" s="271">
        <v>0.4</v>
      </c>
    </row>
    <row r="15" spans="2:7" s="90" customFormat="1" ht="30.75" thickBot="1" x14ac:dyDescent="0.3">
      <c r="B15" s="272" t="s">
        <v>526</v>
      </c>
      <c r="C15" s="250">
        <v>4</v>
      </c>
      <c r="D15" s="157" t="s">
        <v>124</v>
      </c>
      <c r="E15" s="157" t="s">
        <v>124</v>
      </c>
      <c r="F15" s="271" t="s">
        <v>124</v>
      </c>
    </row>
    <row r="16" spans="2:7" s="90" customFormat="1" ht="63.75" customHeight="1" thickBot="1" x14ac:dyDescent="0.3">
      <c r="B16" s="273" t="s">
        <v>12</v>
      </c>
      <c r="C16" s="1052" t="s">
        <v>527</v>
      </c>
      <c r="D16" s="1053"/>
      <c r="E16" s="1053"/>
      <c r="F16" s="1746"/>
    </row>
    <row r="17" spans="2:6" s="90" customFormat="1" ht="23.25" customHeight="1" thickBot="1" x14ac:dyDescent="0.3">
      <c r="B17" s="1747" t="s">
        <v>13</v>
      </c>
      <c r="C17" s="984"/>
      <c r="D17" s="984"/>
      <c r="E17" s="984"/>
      <c r="F17" s="1740"/>
    </row>
    <row r="18" spans="2:6" s="90" customFormat="1" ht="15.75" thickBot="1" x14ac:dyDescent="0.3">
      <c r="B18" s="270" t="s">
        <v>528</v>
      </c>
      <c r="C18" s="250" t="s">
        <v>529</v>
      </c>
      <c r="D18" s="250" t="s">
        <v>530</v>
      </c>
      <c r="E18" s="250" t="s">
        <v>531</v>
      </c>
      <c r="F18" s="648" t="s">
        <v>532</v>
      </c>
    </row>
    <row r="19" spans="2:6" s="90" customFormat="1" ht="15.75" thickBot="1" x14ac:dyDescent="0.3">
      <c r="B19" s="270" t="s">
        <v>533</v>
      </c>
      <c r="C19" s="250">
        <v>3</v>
      </c>
      <c r="D19" s="250">
        <v>3</v>
      </c>
      <c r="E19" s="250">
        <v>3</v>
      </c>
      <c r="F19" s="648">
        <v>3</v>
      </c>
    </row>
    <row r="20" spans="2:6" s="90" customFormat="1" ht="15.75" thickBot="1" x14ac:dyDescent="0.3">
      <c r="B20" s="1717" t="s">
        <v>14</v>
      </c>
      <c r="C20" s="990"/>
      <c r="D20" s="990"/>
      <c r="E20" s="990"/>
      <c r="F20" s="1718"/>
    </row>
    <row r="21" spans="2:6" s="90" customFormat="1" ht="15.75" thickBot="1" x14ac:dyDescent="0.3">
      <c r="B21" s="1717" t="s">
        <v>15</v>
      </c>
      <c r="C21" s="990"/>
      <c r="D21" s="990"/>
      <c r="E21" s="990"/>
      <c r="F21" s="1718"/>
    </row>
    <row r="22" spans="2:6" s="90" customFormat="1" ht="15.75" thickBot="1" x14ac:dyDescent="0.3">
      <c r="B22" s="274" t="s">
        <v>16</v>
      </c>
      <c r="C22" s="992" t="s">
        <v>534</v>
      </c>
      <c r="D22" s="993"/>
      <c r="E22" s="993"/>
      <c r="F22" s="1720"/>
    </row>
    <row r="23" spans="2:6" s="90" customFormat="1" ht="29.25" customHeight="1" thickBot="1" x14ac:dyDescent="0.3">
      <c r="B23" s="272" t="s">
        <v>17</v>
      </c>
      <c r="C23" s="1045" t="s">
        <v>535</v>
      </c>
      <c r="D23" s="1046"/>
      <c r="E23" s="1046"/>
      <c r="F23" s="1735"/>
    </row>
    <row r="24" spans="2:6" s="90" customFormat="1" ht="20.25" customHeight="1" thickBot="1" x14ac:dyDescent="0.3">
      <c r="B24" s="272" t="s">
        <v>18</v>
      </c>
      <c r="C24" s="995" t="s">
        <v>536</v>
      </c>
      <c r="D24" s="996"/>
      <c r="E24" s="996"/>
      <c r="F24" s="1724"/>
    </row>
    <row r="25" spans="2:6" s="90" customFormat="1" ht="20.25" customHeight="1" x14ac:dyDescent="0.25">
      <c r="B25" s="1725"/>
      <c r="C25" s="63">
        <v>2018</v>
      </c>
      <c r="D25" s="63">
        <v>2019</v>
      </c>
      <c r="E25" s="63">
        <v>2020</v>
      </c>
      <c r="F25" s="275">
        <v>2021</v>
      </c>
    </row>
    <row r="26" spans="2:6" s="90" customFormat="1" ht="20.25" customHeight="1" thickBot="1" x14ac:dyDescent="0.3">
      <c r="B26" s="1726"/>
      <c r="C26" s="64" t="s">
        <v>10</v>
      </c>
      <c r="D26" s="64" t="s">
        <v>11</v>
      </c>
      <c r="E26" s="64" t="s">
        <v>11</v>
      </c>
      <c r="F26" s="276" t="s">
        <v>11</v>
      </c>
    </row>
    <row r="27" spans="2:6" s="90" customFormat="1" ht="20.25" customHeight="1" x14ac:dyDescent="0.25">
      <c r="B27" s="277" t="s">
        <v>19</v>
      </c>
      <c r="C27" s="278">
        <f>240*3+1041</f>
        <v>1761</v>
      </c>
      <c r="D27" s="278">
        <f>1166+795</f>
        <v>1961</v>
      </c>
      <c r="E27" s="278">
        <f>1353+922</f>
        <v>2275</v>
      </c>
      <c r="F27" s="279">
        <f>1376+938</f>
        <v>2314</v>
      </c>
    </row>
    <row r="28" spans="2:6" s="90" customFormat="1" ht="20.25" customHeight="1" thickBot="1" x14ac:dyDescent="0.3">
      <c r="B28" s="280" t="s">
        <v>20</v>
      </c>
      <c r="C28" s="281">
        <f>45000*0.5</f>
        <v>22500</v>
      </c>
      <c r="D28" s="281">
        <f>50000*0.5</f>
        <v>25000</v>
      </c>
      <c r="E28" s="281">
        <f>58000*0.5</f>
        <v>29000</v>
      </c>
      <c r="F28" s="282">
        <f>59000*0.5</f>
        <v>29500</v>
      </c>
    </row>
    <row r="29" spans="2:6" s="90" customFormat="1" ht="20.25" customHeight="1" thickBot="1" x14ac:dyDescent="0.3">
      <c r="B29" s="272" t="s">
        <v>21</v>
      </c>
      <c r="C29" s="161">
        <f>C28/C27</f>
        <v>12.776831345826235</v>
      </c>
      <c r="D29" s="161">
        <f t="shared" ref="D29:E29" si="0">D28/D27</f>
        <v>12.748597654258031</v>
      </c>
      <c r="E29" s="161">
        <f t="shared" si="0"/>
        <v>12.747252747252746</v>
      </c>
      <c r="F29" s="283">
        <f>F28/F27</f>
        <v>12.748487467588591</v>
      </c>
    </row>
    <row r="30" spans="2:6" s="90" customFormat="1" ht="15.75" thickBot="1" x14ac:dyDescent="0.3">
      <c r="B30" s="272" t="s">
        <v>22</v>
      </c>
      <c r="C30" s="145" t="s">
        <v>23</v>
      </c>
      <c r="D30" s="162">
        <f>D27/C27-1</f>
        <v>0.11357183418512218</v>
      </c>
      <c r="E30" s="162">
        <f t="shared" ref="E30:F32" si="1">E27/D27-1</f>
        <v>0.16012238653748079</v>
      </c>
      <c r="F30" s="284">
        <f t="shared" si="1"/>
        <v>1.7142857142857126E-2</v>
      </c>
    </row>
    <row r="31" spans="2:6" s="90" customFormat="1" ht="15.75" thickBot="1" x14ac:dyDescent="0.3">
      <c r="B31" s="272" t="s">
        <v>24</v>
      </c>
      <c r="C31" s="145" t="s">
        <v>23</v>
      </c>
      <c r="D31" s="162">
        <f>D28/C28-1</f>
        <v>0.11111111111111116</v>
      </c>
      <c r="E31" s="162">
        <f t="shared" si="1"/>
        <v>0.15999999999999992</v>
      </c>
      <c r="F31" s="284">
        <f t="shared" si="1"/>
        <v>1.7241379310344751E-2</v>
      </c>
    </row>
    <row r="32" spans="2:6" s="90" customFormat="1" ht="15.75" thickBot="1" x14ac:dyDescent="0.3">
      <c r="B32" s="272" t="s">
        <v>25</v>
      </c>
      <c r="C32" s="145" t="s">
        <v>23</v>
      </c>
      <c r="D32" s="162">
        <f>D29/C29-1</f>
        <v>-2.2097569267380823E-3</v>
      </c>
      <c r="E32" s="162">
        <f t="shared" si="1"/>
        <v>-1.054945054945744E-4</v>
      </c>
      <c r="F32" s="284">
        <f t="shared" si="1"/>
        <v>9.6861681518900511E-5</v>
      </c>
    </row>
    <row r="33" spans="2:6" s="90" customFormat="1" ht="15.75" thickBot="1" x14ac:dyDescent="0.3">
      <c r="B33" s="1729" t="s">
        <v>784</v>
      </c>
      <c r="C33" s="1001"/>
      <c r="D33" s="1001"/>
      <c r="E33" s="1001"/>
      <c r="F33" s="1730"/>
    </row>
    <row r="34" spans="2:6" s="90" customFormat="1" ht="12.75" customHeight="1" x14ac:dyDescent="0.25">
      <c r="B34" s="1725"/>
      <c r="C34" s="63">
        <v>2018</v>
      </c>
      <c r="D34" s="63">
        <v>2019</v>
      </c>
      <c r="E34" s="63">
        <v>2020</v>
      </c>
      <c r="F34" s="275">
        <v>2021</v>
      </c>
    </row>
    <row r="35" spans="2:6" s="90" customFormat="1" ht="31.5" customHeight="1" thickBot="1" x14ac:dyDescent="0.3">
      <c r="B35" s="1726"/>
      <c r="C35" s="64" t="s">
        <v>10</v>
      </c>
      <c r="D35" s="64" t="s">
        <v>11</v>
      </c>
      <c r="E35" s="64" t="s">
        <v>11</v>
      </c>
      <c r="F35" s="276" t="s">
        <v>11</v>
      </c>
    </row>
    <row r="36" spans="2:6" s="90" customFormat="1" ht="15.75" thickBot="1" x14ac:dyDescent="0.3">
      <c r="B36" s="285" t="s">
        <v>26</v>
      </c>
      <c r="C36" s="203">
        <f>28000*0.5</f>
        <v>14000</v>
      </c>
      <c r="D36" s="203">
        <f t="shared" ref="D36:F36" si="2">28000*0.5</f>
        <v>14000</v>
      </c>
      <c r="E36" s="203">
        <f t="shared" si="2"/>
        <v>14000</v>
      </c>
      <c r="F36" s="286">
        <f t="shared" si="2"/>
        <v>14000</v>
      </c>
    </row>
    <row r="37" spans="2:6" s="90" customFormat="1" ht="30.75" thickBot="1" x14ac:dyDescent="0.3">
      <c r="B37" s="287" t="s">
        <v>27</v>
      </c>
      <c r="C37" s="165"/>
      <c r="D37" s="288"/>
      <c r="E37" s="288"/>
      <c r="F37" s="289"/>
    </row>
    <row r="38" spans="2:6" s="90" customFormat="1" ht="30.75" thickBot="1" x14ac:dyDescent="0.3">
      <c r="B38" s="287" t="s">
        <v>817</v>
      </c>
      <c r="C38" s="165"/>
      <c r="D38" s="182"/>
      <c r="E38" s="182"/>
      <c r="F38" s="290"/>
    </row>
    <row r="39" spans="2:6" s="90" customFormat="1" ht="30.75" thickBot="1" x14ac:dyDescent="0.3">
      <c r="B39" s="285" t="s">
        <v>28</v>
      </c>
      <c r="C39" s="203">
        <f>4000*0.5</f>
        <v>2000</v>
      </c>
      <c r="D39" s="203">
        <f t="shared" ref="D39:F39" si="3">4000*0.5</f>
        <v>2000</v>
      </c>
      <c r="E39" s="203">
        <f t="shared" si="3"/>
        <v>2000</v>
      </c>
      <c r="F39" s="286">
        <f t="shared" si="3"/>
        <v>2000</v>
      </c>
    </row>
    <row r="40" spans="2:6" s="90" customFormat="1" ht="45.75" thickBot="1" x14ac:dyDescent="0.3">
      <c r="B40" s="287" t="s">
        <v>29</v>
      </c>
      <c r="C40" s="165"/>
      <c r="D40" s="164"/>
      <c r="E40" s="164"/>
      <c r="F40" s="291"/>
    </row>
    <row r="41" spans="2:6" s="90" customFormat="1" ht="45.75" thickBot="1" x14ac:dyDescent="0.3">
      <c r="B41" s="287" t="s">
        <v>818</v>
      </c>
      <c r="C41" s="165"/>
      <c r="D41" s="164"/>
      <c r="E41" s="164"/>
      <c r="F41" s="291"/>
    </row>
    <row r="42" spans="2:6" s="90" customFormat="1" ht="15.75" thickBot="1" x14ac:dyDescent="0.3">
      <c r="B42" s="285" t="s">
        <v>30</v>
      </c>
      <c r="C42" s="243">
        <f>13000*0.5</f>
        <v>6500</v>
      </c>
      <c r="D42" s="243">
        <f>18000*0.5</f>
        <v>9000</v>
      </c>
      <c r="E42" s="243">
        <f>26000*0.5</f>
        <v>13000</v>
      </c>
      <c r="F42" s="292">
        <f>27000*0.5</f>
        <v>13500</v>
      </c>
    </row>
    <row r="43" spans="2:6" s="90" customFormat="1" ht="45.75" thickBot="1" x14ac:dyDescent="0.3">
      <c r="B43" s="287" t="s">
        <v>31</v>
      </c>
      <c r="C43" s="165"/>
      <c r="D43" s="293"/>
      <c r="E43" s="293"/>
      <c r="F43" s="294"/>
    </row>
    <row r="44" spans="2:6" s="90" customFormat="1" ht="45.75" thickBot="1" x14ac:dyDescent="0.3">
      <c r="B44" s="287" t="s">
        <v>819</v>
      </c>
      <c r="C44" s="165"/>
      <c r="D44" s="164"/>
      <c r="E44" s="164"/>
      <c r="F44" s="291"/>
    </row>
    <row r="45" spans="2:6" s="90" customFormat="1" ht="15.75" thickBot="1" x14ac:dyDescent="0.3">
      <c r="B45" s="285" t="s">
        <v>32</v>
      </c>
      <c r="C45" s="165"/>
      <c r="D45" s="164"/>
      <c r="E45" s="164"/>
      <c r="F45" s="291"/>
    </row>
    <row r="46" spans="2:6" s="90" customFormat="1" ht="30.75" thickBot="1" x14ac:dyDescent="0.3">
      <c r="B46" s="287" t="s">
        <v>33</v>
      </c>
      <c r="C46" s="165"/>
      <c r="D46" s="164"/>
      <c r="E46" s="164"/>
      <c r="F46" s="291"/>
    </row>
    <row r="47" spans="2:6" s="90" customFormat="1" ht="30.75" thickBot="1" x14ac:dyDescent="0.3">
      <c r="B47" s="287" t="s">
        <v>820</v>
      </c>
      <c r="C47" s="165"/>
      <c r="D47" s="164"/>
      <c r="E47" s="164"/>
      <c r="F47" s="291"/>
    </row>
    <row r="48" spans="2:6" s="90" customFormat="1" ht="15.75" thickBot="1" x14ac:dyDescent="0.3">
      <c r="B48" s="285" t="s">
        <v>34</v>
      </c>
      <c r="C48" s="165"/>
      <c r="D48" s="164"/>
      <c r="E48" s="164"/>
      <c r="F48" s="291"/>
    </row>
    <row r="49" spans="2:6" s="90" customFormat="1" ht="45.75" thickBot="1" x14ac:dyDescent="0.3">
      <c r="B49" s="287" t="s">
        <v>35</v>
      </c>
      <c r="C49" s="165"/>
      <c r="D49" s="164"/>
      <c r="E49" s="164"/>
      <c r="F49" s="291"/>
    </row>
    <row r="50" spans="2:6" s="90" customFormat="1" ht="45.75" thickBot="1" x14ac:dyDescent="0.3">
      <c r="B50" s="287" t="s">
        <v>821</v>
      </c>
      <c r="C50" s="165"/>
      <c r="D50" s="164"/>
      <c r="E50" s="164"/>
      <c r="F50" s="291"/>
    </row>
    <row r="51" spans="2:6" s="90" customFormat="1" x14ac:dyDescent="0.25">
      <c r="B51" s="295" t="s">
        <v>36</v>
      </c>
      <c r="C51" s="296"/>
      <c r="D51" s="297"/>
      <c r="E51" s="297"/>
      <c r="F51" s="298"/>
    </row>
    <row r="52" spans="2:6" s="90" customFormat="1" ht="45.75" thickBot="1" x14ac:dyDescent="0.3">
      <c r="B52" s="299" t="s">
        <v>37</v>
      </c>
      <c r="C52" s="300"/>
      <c r="D52" s="301"/>
      <c r="E52" s="301"/>
      <c r="F52" s="302"/>
    </row>
    <row r="53" spans="2:6" s="90" customFormat="1" ht="45.75" thickBot="1" x14ac:dyDescent="0.3">
      <c r="B53" s="287" t="s">
        <v>822</v>
      </c>
      <c r="C53" s="165"/>
      <c r="D53" s="164"/>
      <c r="E53" s="164"/>
      <c r="F53" s="291"/>
    </row>
    <row r="54" spans="2:6" s="90" customFormat="1" ht="30.75" thickBot="1" x14ac:dyDescent="0.3">
      <c r="B54" s="285" t="s">
        <v>38</v>
      </c>
      <c r="C54" s="165">
        <v>0</v>
      </c>
      <c r="D54" s="164">
        <v>0</v>
      </c>
      <c r="E54" s="164">
        <v>0</v>
      </c>
      <c r="F54" s="291">
        <v>0</v>
      </c>
    </row>
    <row r="55" spans="2:6" s="90" customFormat="1" ht="45.75" thickBot="1" x14ac:dyDescent="0.3">
      <c r="B55" s="287" t="s">
        <v>39</v>
      </c>
      <c r="C55" s="165"/>
      <c r="D55" s="164"/>
      <c r="E55" s="164"/>
      <c r="F55" s="291"/>
    </row>
    <row r="56" spans="2:6" s="90" customFormat="1" ht="45.75" thickBot="1" x14ac:dyDescent="0.3">
      <c r="B56" s="287" t="s">
        <v>823</v>
      </c>
      <c r="C56" s="165"/>
      <c r="D56" s="164"/>
      <c r="E56" s="164"/>
      <c r="F56" s="291"/>
    </row>
    <row r="57" spans="2:6" s="90" customFormat="1" ht="15.75" thickBot="1" x14ac:dyDescent="0.3">
      <c r="B57" s="303" t="s">
        <v>40</v>
      </c>
      <c r="C57" s="165">
        <f>C36+C39+C42+C51+C54</f>
        <v>22500</v>
      </c>
      <c r="D57" s="165">
        <f>D54+D51+D48+D45+D42+D39+D36</f>
        <v>25000</v>
      </c>
      <c r="E57" s="165">
        <f>E54+E51+E48+E45+E42+E39+E36</f>
        <v>29000</v>
      </c>
      <c r="F57" s="304">
        <f>F54+F51+F48+F45+F42+F39+F36</f>
        <v>29500</v>
      </c>
    </row>
    <row r="58" spans="2:6" s="90" customFormat="1" x14ac:dyDescent="0.25">
      <c r="B58" s="1711" t="s">
        <v>785</v>
      </c>
      <c r="C58" s="1736"/>
      <c r="D58" s="1037"/>
      <c r="E58" s="1037"/>
      <c r="F58" s="1714"/>
    </row>
    <row r="59" spans="2:6" s="90" customFormat="1" x14ac:dyDescent="0.25">
      <c r="B59" s="1712"/>
      <c r="C59" s="1039"/>
      <c r="D59" s="1040"/>
      <c r="E59" s="1040"/>
      <c r="F59" s="1715"/>
    </row>
    <row r="60" spans="2:6" s="90" customFormat="1" ht="15.75" thickBot="1" x14ac:dyDescent="0.3">
      <c r="B60" s="1713"/>
      <c r="C60" s="1042"/>
      <c r="D60" s="1043"/>
      <c r="E60" s="1043"/>
      <c r="F60" s="1716"/>
    </row>
    <row r="61" spans="2:6" s="90" customFormat="1" ht="15.75" thickBot="1" x14ac:dyDescent="0.3">
      <c r="B61" s="305" t="s">
        <v>41</v>
      </c>
      <c r="C61" s="167"/>
      <c r="D61" s="167">
        <f>IF(D57-D28=0,0,"Error")</f>
        <v>0</v>
      </c>
      <c r="E61" s="167">
        <f>IF(E57-E28=0,0,"Error")</f>
        <v>0</v>
      </c>
      <c r="F61" s="306">
        <f>IF(F57-F28=0,0,"Error")</f>
        <v>0</v>
      </c>
    </row>
    <row r="62" spans="2:6" s="90" customFormat="1" x14ac:dyDescent="0.25">
      <c r="B62" s="1711" t="s">
        <v>60</v>
      </c>
      <c r="C62" s="1036"/>
      <c r="D62" s="1037"/>
      <c r="E62" s="1037"/>
      <c r="F62" s="1714"/>
    </row>
    <row r="63" spans="2:6" s="90" customFormat="1" x14ac:dyDescent="0.25">
      <c r="B63" s="1712"/>
      <c r="C63" s="1039"/>
      <c r="D63" s="1040"/>
      <c r="E63" s="1040"/>
      <c r="F63" s="1715"/>
    </row>
    <row r="64" spans="2:6" s="90" customFormat="1" ht="15.75" thickBot="1" x14ac:dyDescent="0.3">
      <c r="B64" s="1713"/>
      <c r="C64" s="1042"/>
      <c r="D64" s="1043"/>
      <c r="E64" s="1043"/>
      <c r="F64" s="1716"/>
    </row>
    <row r="65" spans="2:6" s="90" customFormat="1" ht="15.75" customHeight="1" thickBot="1" x14ac:dyDescent="0.3">
      <c r="B65" s="307" t="s">
        <v>42</v>
      </c>
      <c r="C65" s="992" t="s">
        <v>537</v>
      </c>
      <c r="D65" s="993"/>
      <c r="E65" s="993"/>
      <c r="F65" s="1720"/>
    </row>
    <row r="66" spans="2:6" s="90" customFormat="1" ht="51.75" customHeight="1" thickBot="1" x14ac:dyDescent="0.3">
      <c r="B66" s="272" t="s">
        <v>17</v>
      </c>
      <c r="C66" s="1721" t="s">
        <v>538</v>
      </c>
      <c r="D66" s="1722"/>
      <c r="E66" s="1722"/>
      <c r="F66" s="1723"/>
    </row>
    <row r="67" spans="2:6" s="90" customFormat="1" ht="15.75" customHeight="1" thickBot="1" x14ac:dyDescent="0.3">
      <c r="B67" s="272" t="s">
        <v>18</v>
      </c>
      <c r="C67" s="995" t="s">
        <v>539</v>
      </c>
      <c r="D67" s="996"/>
      <c r="E67" s="996"/>
      <c r="F67" s="1724"/>
    </row>
    <row r="68" spans="2:6" s="90" customFormat="1" ht="12.75" customHeight="1" x14ac:dyDescent="0.25">
      <c r="B68" s="1725"/>
      <c r="C68" s="63">
        <v>2018</v>
      </c>
      <c r="D68" s="63">
        <v>2019</v>
      </c>
      <c r="E68" s="63">
        <v>2020</v>
      </c>
      <c r="F68" s="275">
        <v>2021</v>
      </c>
    </row>
    <row r="69" spans="2:6" s="90" customFormat="1" ht="17.25" customHeight="1" thickBot="1" x14ac:dyDescent="0.3">
      <c r="B69" s="1726"/>
      <c r="C69" s="64" t="s">
        <v>10</v>
      </c>
      <c r="D69" s="64" t="s">
        <v>11</v>
      </c>
      <c r="E69" s="64" t="s">
        <v>11</v>
      </c>
      <c r="F69" s="276" t="s">
        <v>11</v>
      </c>
    </row>
    <row r="70" spans="2:6" s="90" customFormat="1" ht="15.75" thickBot="1" x14ac:dyDescent="0.3">
      <c r="B70" s="272" t="s">
        <v>19</v>
      </c>
      <c r="C70" s="308">
        <v>4</v>
      </c>
      <c r="D70" s="308">
        <v>4</v>
      </c>
      <c r="E70" s="308">
        <v>4</v>
      </c>
      <c r="F70" s="309">
        <v>4</v>
      </c>
    </row>
    <row r="71" spans="2:6" s="90" customFormat="1" ht="15.75" thickBot="1" x14ac:dyDescent="0.3">
      <c r="B71" s="272" t="s">
        <v>20</v>
      </c>
      <c r="C71" s="161">
        <f>45000*0.2</f>
        <v>9000</v>
      </c>
      <c r="D71" s="161">
        <f>50000*0.2</f>
        <v>10000</v>
      </c>
      <c r="E71" s="161">
        <f>58000*0.2</f>
        <v>11600</v>
      </c>
      <c r="F71" s="283">
        <f>59000*0.2</f>
        <v>11800</v>
      </c>
    </row>
    <row r="72" spans="2:6" s="90" customFormat="1" ht="15.75" thickBot="1" x14ac:dyDescent="0.3">
      <c r="B72" s="272" t="s">
        <v>21</v>
      </c>
      <c r="C72" s="161">
        <f>C71/C70</f>
        <v>2250</v>
      </c>
      <c r="D72" s="161">
        <f t="shared" ref="D72:F72" si="4">D71/D70</f>
        <v>2500</v>
      </c>
      <c r="E72" s="161">
        <f t="shared" si="4"/>
        <v>2900</v>
      </c>
      <c r="F72" s="283">
        <f t="shared" si="4"/>
        <v>2950</v>
      </c>
    </row>
    <row r="73" spans="2:6" s="90" customFormat="1" ht="15.75" thickBot="1" x14ac:dyDescent="0.3">
      <c r="B73" s="272" t="s">
        <v>22</v>
      </c>
      <c r="C73" s="145" t="s">
        <v>23</v>
      </c>
      <c r="D73" s="162">
        <f>D70/C70-1</f>
        <v>0</v>
      </c>
      <c r="E73" s="162">
        <f t="shared" ref="E73:F75" si="5">E70/D70-1</f>
        <v>0</v>
      </c>
      <c r="F73" s="284">
        <f t="shared" si="5"/>
        <v>0</v>
      </c>
    </row>
    <row r="74" spans="2:6" s="90" customFormat="1" ht="15.75" thickBot="1" x14ac:dyDescent="0.3">
      <c r="B74" s="272" t="s">
        <v>24</v>
      </c>
      <c r="C74" s="145" t="s">
        <v>23</v>
      </c>
      <c r="D74" s="162">
        <f>D71/C71-1</f>
        <v>0.11111111111111116</v>
      </c>
      <c r="E74" s="162">
        <f t="shared" si="5"/>
        <v>0.15999999999999992</v>
      </c>
      <c r="F74" s="284">
        <f t="shared" si="5"/>
        <v>1.7241379310344751E-2</v>
      </c>
    </row>
    <row r="75" spans="2:6" s="90" customFormat="1" ht="15.75" thickBot="1" x14ac:dyDescent="0.3">
      <c r="B75" s="272" t="s">
        <v>25</v>
      </c>
      <c r="C75" s="145" t="s">
        <v>23</v>
      </c>
      <c r="D75" s="162">
        <f>D72/C72-1</f>
        <v>0.11111111111111116</v>
      </c>
      <c r="E75" s="162">
        <f t="shared" si="5"/>
        <v>0.15999999999999992</v>
      </c>
      <c r="F75" s="284">
        <f t="shared" si="5"/>
        <v>1.7241379310344751E-2</v>
      </c>
    </row>
    <row r="76" spans="2:6" s="90" customFormat="1" ht="15.75" thickBot="1" x14ac:dyDescent="0.3">
      <c r="B76" s="1729" t="s">
        <v>786</v>
      </c>
      <c r="C76" s="1001"/>
      <c r="D76" s="1001"/>
      <c r="E76" s="1001"/>
      <c r="F76" s="1730"/>
    </row>
    <row r="77" spans="2:6" s="90" customFormat="1" ht="12.75" customHeight="1" x14ac:dyDescent="0.25">
      <c r="B77" s="1725"/>
      <c r="C77" s="63">
        <v>2018</v>
      </c>
      <c r="D77" s="63">
        <v>2019</v>
      </c>
      <c r="E77" s="63">
        <v>2020</v>
      </c>
      <c r="F77" s="275">
        <v>2021</v>
      </c>
    </row>
    <row r="78" spans="2:6" s="90" customFormat="1" ht="21.75" customHeight="1" thickBot="1" x14ac:dyDescent="0.3">
      <c r="B78" s="1726"/>
      <c r="C78" s="64" t="s">
        <v>10</v>
      </c>
      <c r="D78" s="64" t="s">
        <v>11</v>
      </c>
      <c r="E78" s="64" t="s">
        <v>11</v>
      </c>
      <c r="F78" s="276" t="s">
        <v>11</v>
      </c>
    </row>
    <row r="79" spans="2:6" s="90" customFormat="1" ht="15.75" thickBot="1" x14ac:dyDescent="0.3">
      <c r="B79" s="285" t="s">
        <v>26</v>
      </c>
      <c r="C79" s="203">
        <f>28000*0.2</f>
        <v>5600</v>
      </c>
      <c r="D79" s="203">
        <f>28000*0.2</f>
        <v>5600</v>
      </c>
      <c r="E79" s="203">
        <f>28000*0.2</f>
        <v>5600</v>
      </c>
      <c r="F79" s="286">
        <f>28000*0.2</f>
        <v>5600</v>
      </c>
    </row>
    <row r="80" spans="2:6" s="90" customFormat="1" ht="30.75" thickBot="1" x14ac:dyDescent="0.3">
      <c r="B80" s="287" t="s">
        <v>27</v>
      </c>
      <c r="C80" s="165"/>
      <c r="D80" s="288"/>
      <c r="E80" s="288"/>
      <c r="F80" s="289"/>
    </row>
    <row r="81" spans="2:6" s="90" customFormat="1" ht="30.75" thickBot="1" x14ac:dyDescent="0.3">
      <c r="B81" s="287" t="s">
        <v>817</v>
      </c>
      <c r="C81" s="165"/>
      <c r="D81" s="182"/>
      <c r="E81" s="182"/>
      <c r="F81" s="290"/>
    </row>
    <row r="82" spans="2:6" s="90" customFormat="1" ht="30" x14ac:dyDescent="0.25">
      <c r="B82" s="295" t="s">
        <v>28</v>
      </c>
      <c r="C82" s="310">
        <f>4000*0.2</f>
        <v>800</v>
      </c>
      <c r="D82" s="310">
        <f>4000*0.2</f>
        <v>800</v>
      </c>
      <c r="E82" s="310">
        <f>4000*0.2</f>
        <v>800</v>
      </c>
      <c r="F82" s="311">
        <f>4000*0.2</f>
        <v>800</v>
      </c>
    </row>
    <row r="83" spans="2:6" s="90" customFormat="1" ht="45.75" thickBot="1" x14ac:dyDescent="0.3">
      <c r="B83" s="299" t="s">
        <v>29</v>
      </c>
      <c r="C83" s="300"/>
      <c r="D83" s="301"/>
      <c r="E83" s="301"/>
      <c r="F83" s="302"/>
    </row>
    <row r="84" spans="2:6" s="90" customFormat="1" ht="45.75" thickBot="1" x14ac:dyDescent="0.3">
      <c r="B84" s="287" t="s">
        <v>818</v>
      </c>
      <c r="C84" s="165"/>
      <c r="D84" s="164"/>
      <c r="E84" s="164"/>
      <c r="F84" s="291"/>
    </row>
    <row r="85" spans="2:6" s="90" customFormat="1" ht="15.75" thickBot="1" x14ac:dyDescent="0.3">
      <c r="B85" s="285" t="s">
        <v>30</v>
      </c>
      <c r="C85" s="243">
        <f>13000*0.2</f>
        <v>2600</v>
      </c>
      <c r="D85" s="243">
        <f>18000*0.2</f>
        <v>3600</v>
      </c>
      <c r="E85" s="243">
        <f>26000*0.2</f>
        <v>5200</v>
      </c>
      <c r="F85" s="292">
        <f>27000*0.2</f>
        <v>5400</v>
      </c>
    </row>
    <row r="86" spans="2:6" s="90" customFormat="1" ht="45.75" thickBot="1" x14ac:dyDescent="0.3">
      <c r="B86" s="287" t="s">
        <v>31</v>
      </c>
      <c r="C86" s="165"/>
      <c r="D86" s="293"/>
      <c r="E86" s="293"/>
      <c r="F86" s="294"/>
    </row>
    <row r="87" spans="2:6" s="90" customFormat="1" ht="45.75" thickBot="1" x14ac:dyDescent="0.3">
      <c r="B87" s="287" t="s">
        <v>819</v>
      </c>
      <c r="C87" s="165"/>
      <c r="D87" s="164"/>
      <c r="E87" s="164"/>
      <c r="F87" s="291"/>
    </row>
    <row r="88" spans="2:6" s="90" customFormat="1" ht="15.75" thickBot="1" x14ac:dyDescent="0.3">
      <c r="B88" s="285" t="s">
        <v>32</v>
      </c>
      <c r="C88" s="165"/>
      <c r="D88" s="164"/>
      <c r="E88" s="164"/>
      <c r="F88" s="291"/>
    </row>
    <row r="89" spans="2:6" s="90" customFormat="1" ht="30.75" thickBot="1" x14ac:dyDescent="0.3">
      <c r="B89" s="287" t="s">
        <v>33</v>
      </c>
      <c r="C89" s="165"/>
      <c r="D89" s="164"/>
      <c r="E89" s="164"/>
      <c r="F89" s="291"/>
    </row>
    <row r="90" spans="2:6" s="90" customFormat="1" ht="30.75" thickBot="1" x14ac:dyDescent="0.3">
      <c r="B90" s="287" t="s">
        <v>820</v>
      </c>
      <c r="C90" s="165"/>
      <c r="D90" s="164"/>
      <c r="E90" s="164"/>
      <c r="F90" s="291"/>
    </row>
    <row r="91" spans="2:6" s="90" customFormat="1" ht="15.75" thickBot="1" x14ac:dyDescent="0.3">
      <c r="B91" s="285" t="s">
        <v>34</v>
      </c>
      <c r="C91" s="165"/>
      <c r="D91" s="164"/>
      <c r="E91" s="164"/>
      <c r="F91" s="291"/>
    </row>
    <row r="92" spans="2:6" s="90" customFormat="1" ht="45.75" thickBot="1" x14ac:dyDescent="0.3">
      <c r="B92" s="287" t="s">
        <v>35</v>
      </c>
      <c r="C92" s="165"/>
      <c r="D92" s="164"/>
      <c r="E92" s="164"/>
      <c r="F92" s="291"/>
    </row>
    <row r="93" spans="2:6" s="90" customFormat="1" ht="45.75" thickBot="1" x14ac:dyDescent="0.3">
      <c r="B93" s="287" t="s">
        <v>821</v>
      </c>
      <c r="C93" s="165"/>
      <c r="D93" s="164"/>
      <c r="E93" s="164"/>
      <c r="F93" s="291"/>
    </row>
    <row r="94" spans="2:6" s="90" customFormat="1" ht="15.75" thickBot="1" x14ac:dyDescent="0.3">
      <c r="B94" s="285" t="s">
        <v>36</v>
      </c>
      <c r="C94" s="165"/>
      <c r="D94" s="164"/>
      <c r="E94" s="164"/>
      <c r="F94" s="291"/>
    </row>
    <row r="95" spans="2:6" s="90" customFormat="1" ht="45.75" thickBot="1" x14ac:dyDescent="0.3">
      <c r="B95" s="287" t="s">
        <v>37</v>
      </c>
      <c r="C95" s="165"/>
      <c r="D95" s="164"/>
      <c r="E95" s="164"/>
      <c r="F95" s="291"/>
    </row>
    <row r="96" spans="2:6" s="90" customFormat="1" ht="45.75" thickBot="1" x14ac:dyDescent="0.3">
      <c r="B96" s="287" t="s">
        <v>822</v>
      </c>
      <c r="C96" s="165"/>
      <c r="D96" s="164"/>
      <c r="E96" s="164"/>
      <c r="F96" s="291"/>
    </row>
    <row r="97" spans="2:6" s="90" customFormat="1" ht="30.75" thickBot="1" x14ac:dyDescent="0.3">
      <c r="B97" s="285" t="s">
        <v>38</v>
      </c>
      <c r="C97" s="165">
        <v>0</v>
      </c>
      <c r="D97" s="164">
        <v>0</v>
      </c>
      <c r="E97" s="164">
        <v>0</v>
      </c>
      <c r="F97" s="291">
        <v>0</v>
      </c>
    </row>
    <row r="98" spans="2:6" s="90" customFormat="1" ht="45.75" thickBot="1" x14ac:dyDescent="0.3">
      <c r="B98" s="287" t="s">
        <v>39</v>
      </c>
      <c r="C98" s="165"/>
      <c r="D98" s="164"/>
      <c r="E98" s="164"/>
      <c r="F98" s="291"/>
    </row>
    <row r="99" spans="2:6" s="90" customFormat="1" ht="45.75" thickBot="1" x14ac:dyDescent="0.3">
      <c r="B99" s="287" t="s">
        <v>823</v>
      </c>
      <c r="C99" s="165"/>
      <c r="D99" s="164"/>
      <c r="E99" s="164"/>
      <c r="F99" s="291"/>
    </row>
    <row r="100" spans="2:6" s="90" customFormat="1" ht="24" customHeight="1" thickBot="1" x14ac:dyDescent="0.3">
      <c r="B100" s="303" t="s">
        <v>43</v>
      </c>
      <c r="C100" s="165">
        <f>C79+C82+C85+C94+C97</f>
        <v>9000</v>
      </c>
      <c r="D100" s="165">
        <f t="shared" ref="D100:F100" si="6">D97+D94+D91+D88+D85+D82+D79</f>
        <v>10000</v>
      </c>
      <c r="E100" s="165">
        <f t="shared" si="6"/>
        <v>11600</v>
      </c>
      <c r="F100" s="304">
        <f t="shared" si="6"/>
        <v>11800</v>
      </c>
    </row>
    <row r="101" spans="2:6" s="90" customFormat="1" hidden="1" x14ac:dyDescent="0.25">
      <c r="B101" s="1711" t="s">
        <v>122</v>
      </c>
      <c r="C101" s="1036"/>
      <c r="D101" s="1037"/>
      <c r="E101" s="1037"/>
      <c r="F101" s="1714"/>
    </row>
    <row r="102" spans="2:6" s="90" customFormat="1" x14ac:dyDescent="0.25">
      <c r="B102" s="1712"/>
      <c r="C102" s="1039"/>
      <c r="D102" s="1040"/>
      <c r="E102" s="1040"/>
      <c r="F102" s="1715"/>
    </row>
    <row r="103" spans="2:6" s="90" customFormat="1" x14ac:dyDescent="0.25">
      <c r="B103" s="1731"/>
      <c r="C103" s="1732"/>
      <c r="D103" s="1733"/>
      <c r="E103" s="1733"/>
      <c r="F103" s="1734"/>
    </row>
    <row r="104" spans="2:6" s="90" customFormat="1" ht="15.75" thickBot="1" x14ac:dyDescent="0.3">
      <c r="B104" s="312" t="s">
        <v>41</v>
      </c>
      <c r="C104" s="313"/>
      <c r="D104" s="313">
        <f>D100-D71</f>
        <v>0</v>
      </c>
      <c r="E104" s="313">
        <f t="shared" ref="E104:F104" si="7">E100-E71</f>
        <v>0</v>
      </c>
      <c r="F104" s="314">
        <f t="shared" si="7"/>
        <v>0</v>
      </c>
    </row>
    <row r="105" spans="2:6" s="90" customFormat="1" ht="15.75" customHeight="1" thickBot="1" x14ac:dyDescent="0.3">
      <c r="B105" s="307" t="s">
        <v>44</v>
      </c>
      <c r="C105" s="1045" t="s">
        <v>540</v>
      </c>
      <c r="D105" s="1046"/>
      <c r="E105" s="1046"/>
      <c r="F105" s="1735"/>
    </row>
    <row r="106" spans="2:6" s="90" customFormat="1" ht="30.75" customHeight="1" thickBot="1" x14ac:dyDescent="0.3">
      <c r="B106" s="272" t="s">
        <v>17</v>
      </c>
      <c r="C106" s="1045" t="s">
        <v>541</v>
      </c>
      <c r="D106" s="1046"/>
      <c r="E106" s="1046"/>
      <c r="F106" s="1735"/>
    </row>
    <row r="107" spans="2:6" s="90" customFormat="1" ht="15.75" customHeight="1" thickBot="1" x14ac:dyDescent="0.3">
      <c r="B107" s="272" t="s">
        <v>18</v>
      </c>
      <c r="C107" s="995" t="s">
        <v>150</v>
      </c>
      <c r="D107" s="996"/>
      <c r="E107" s="996"/>
      <c r="F107" s="1724"/>
    </row>
    <row r="108" spans="2:6" s="90" customFormat="1" ht="12.75" customHeight="1" x14ac:dyDescent="0.25">
      <c r="B108" s="1725"/>
      <c r="C108" s="63">
        <v>2018</v>
      </c>
      <c r="D108" s="63">
        <v>2019</v>
      </c>
      <c r="E108" s="63">
        <v>2020</v>
      </c>
      <c r="F108" s="275">
        <v>2021</v>
      </c>
    </row>
    <row r="109" spans="2:6" s="90" customFormat="1" ht="17.25" customHeight="1" thickBot="1" x14ac:dyDescent="0.3">
      <c r="B109" s="1726"/>
      <c r="C109" s="64" t="s">
        <v>10</v>
      </c>
      <c r="D109" s="64" t="s">
        <v>11</v>
      </c>
      <c r="E109" s="64" t="s">
        <v>11</v>
      </c>
      <c r="F109" s="276" t="s">
        <v>11</v>
      </c>
    </row>
    <row r="110" spans="2:6" s="90" customFormat="1" ht="15.75" thickBot="1" x14ac:dyDescent="0.3">
      <c r="B110" s="272" t="s">
        <v>19</v>
      </c>
      <c r="C110" s="308">
        <f>12500/120/5*8*365*4</f>
        <v>243333.33333333337</v>
      </c>
      <c r="D110" s="308">
        <v>270370</v>
      </c>
      <c r="E110" s="308">
        <v>313629</v>
      </c>
      <c r="F110" s="309">
        <v>319036</v>
      </c>
    </row>
    <row r="111" spans="2:6" s="90" customFormat="1" ht="15.75" thickBot="1" x14ac:dyDescent="0.3">
      <c r="B111" s="272" t="s">
        <v>20</v>
      </c>
      <c r="C111" s="161">
        <f>45000*0.3</f>
        <v>13500</v>
      </c>
      <c r="D111" s="161">
        <f>50000*0.3</f>
        <v>15000</v>
      </c>
      <c r="E111" s="161">
        <f>58000*0.3</f>
        <v>17400</v>
      </c>
      <c r="F111" s="283">
        <f>59000*0.3</f>
        <v>17700</v>
      </c>
    </row>
    <row r="112" spans="2:6" s="90" customFormat="1" ht="15.75" thickBot="1" x14ac:dyDescent="0.3">
      <c r="B112" s="272" t="s">
        <v>21</v>
      </c>
      <c r="C112" s="253">
        <f>C111/C110</f>
        <v>5.5479452054794515E-2</v>
      </c>
      <c r="D112" s="253">
        <f t="shared" ref="D112:F112" si="8">D111/D110</f>
        <v>5.547952805414802E-2</v>
      </c>
      <c r="E112" s="253">
        <f t="shared" si="8"/>
        <v>5.5479563433228435E-2</v>
      </c>
      <c r="F112" s="315">
        <f t="shared" si="8"/>
        <v>5.5479632392582655E-2</v>
      </c>
    </row>
    <row r="113" spans="2:6" s="90" customFormat="1" ht="15.75" thickBot="1" x14ac:dyDescent="0.3">
      <c r="B113" s="272" t="s">
        <v>22</v>
      </c>
      <c r="C113" s="145" t="s">
        <v>23</v>
      </c>
      <c r="D113" s="162">
        <f>D110/C110-1</f>
        <v>0.1111095890410958</v>
      </c>
      <c r="E113" s="162">
        <f t="shared" ref="E113:F115" si="9">E110/D110-1</f>
        <v>0.15999926027295919</v>
      </c>
      <c r="F113" s="284">
        <f t="shared" si="9"/>
        <v>1.7240114912842941E-2</v>
      </c>
    </row>
    <row r="114" spans="2:6" s="90" customFormat="1" ht="15.75" thickBot="1" x14ac:dyDescent="0.3">
      <c r="B114" s="272" t="s">
        <v>24</v>
      </c>
      <c r="C114" s="145" t="s">
        <v>23</v>
      </c>
      <c r="D114" s="162">
        <f>D111/C111-1</f>
        <v>0.11111111111111116</v>
      </c>
      <c r="E114" s="162">
        <f t="shared" si="9"/>
        <v>0.15999999999999992</v>
      </c>
      <c r="F114" s="284">
        <f t="shared" si="9"/>
        <v>1.7241379310344751E-2</v>
      </c>
    </row>
    <row r="115" spans="2:6" s="90" customFormat="1" ht="15.75" thickBot="1" x14ac:dyDescent="0.3">
      <c r="B115" s="272" t="s">
        <v>25</v>
      </c>
      <c r="C115" s="145" t="s">
        <v>23</v>
      </c>
      <c r="D115" s="162">
        <f>D112/C112-1</f>
        <v>1.369864890410355E-6</v>
      </c>
      <c r="E115" s="162">
        <f t="shared" si="9"/>
        <v>6.3769613145581161E-7</v>
      </c>
      <c r="F115" s="284">
        <f t="shared" si="9"/>
        <v>1.2429685807280322E-6</v>
      </c>
    </row>
    <row r="116" spans="2:6" s="90" customFormat="1" ht="15.75" thickBot="1" x14ac:dyDescent="0.3">
      <c r="B116" s="1729" t="s">
        <v>787</v>
      </c>
      <c r="C116" s="1001"/>
      <c r="D116" s="1001"/>
      <c r="E116" s="1001"/>
      <c r="F116" s="1730"/>
    </row>
    <row r="117" spans="2:6" s="90" customFormat="1" ht="12.75" customHeight="1" x14ac:dyDescent="0.25">
      <c r="B117" s="1725"/>
      <c r="C117" s="63">
        <v>2018</v>
      </c>
      <c r="D117" s="63">
        <v>2019</v>
      </c>
      <c r="E117" s="63">
        <v>2020</v>
      </c>
      <c r="F117" s="275">
        <v>2021</v>
      </c>
    </row>
    <row r="118" spans="2:6" s="90" customFormat="1" ht="16.5" customHeight="1" thickBot="1" x14ac:dyDescent="0.3">
      <c r="B118" s="1726"/>
      <c r="C118" s="64" t="s">
        <v>10</v>
      </c>
      <c r="D118" s="64" t="s">
        <v>11</v>
      </c>
      <c r="E118" s="64" t="s">
        <v>11</v>
      </c>
      <c r="F118" s="276" t="s">
        <v>11</v>
      </c>
    </row>
    <row r="119" spans="2:6" s="90" customFormat="1" ht="15.75" thickBot="1" x14ac:dyDescent="0.3">
      <c r="B119" s="285" t="s">
        <v>26</v>
      </c>
      <c r="C119" s="203">
        <f>28000*0.3</f>
        <v>8400</v>
      </c>
      <c r="D119" s="203">
        <f t="shared" ref="D119:F119" si="10">28000*0.3</f>
        <v>8400</v>
      </c>
      <c r="E119" s="203">
        <f t="shared" si="10"/>
        <v>8400</v>
      </c>
      <c r="F119" s="286">
        <f t="shared" si="10"/>
        <v>8400</v>
      </c>
    </row>
    <row r="120" spans="2:6" s="90" customFormat="1" ht="30.75" thickBot="1" x14ac:dyDescent="0.3">
      <c r="B120" s="287" t="s">
        <v>27</v>
      </c>
      <c r="C120" s="165"/>
      <c r="D120" s="288"/>
      <c r="E120" s="288"/>
      <c r="F120" s="289"/>
    </row>
    <row r="121" spans="2:6" s="90" customFormat="1" ht="30.75" thickBot="1" x14ac:dyDescent="0.3">
      <c r="B121" s="287" t="s">
        <v>817</v>
      </c>
      <c r="C121" s="165"/>
      <c r="D121" s="182"/>
      <c r="E121" s="182"/>
      <c r="F121" s="290"/>
    </row>
    <row r="122" spans="2:6" s="90" customFormat="1" ht="30.75" thickBot="1" x14ac:dyDescent="0.3">
      <c r="B122" s="285" t="s">
        <v>28</v>
      </c>
      <c r="C122" s="203">
        <f>4000*0.3</f>
        <v>1200</v>
      </c>
      <c r="D122" s="203">
        <f t="shared" ref="D122:F122" si="11">4000*0.3</f>
        <v>1200</v>
      </c>
      <c r="E122" s="203">
        <f t="shared" si="11"/>
        <v>1200</v>
      </c>
      <c r="F122" s="286">
        <f t="shared" si="11"/>
        <v>1200</v>
      </c>
    </row>
    <row r="123" spans="2:6" s="90" customFormat="1" ht="45.75" thickBot="1" x14ac:dyDescent="0.3">
      <c r="B123" s="287" t="s">
        <v>29</v>
      </c>
      <c r="C123" s="165"/>
      <c r="D123" s="164"/>
      <c r="E123" s="164"/>
      <c r="F123" s="291"/>
    </row>
    <row r="124" spans="2:6" s="90" customFormat="1" ht="45.75" thickBot="1" x14ac:dyDescent="0.3">
      <c r="B124" s="287" t="s">
        <v>818</v>
      </c>
      <c r="C124" s="165"/>
      <c r="D124" s="164"/>
      <c r="E124" s="164"/>
      <c r="F124" s="291"/>
    </row>
    <row r="125" spans="2:6" s="90" customFormat="1" ht="15.75" thickBot="1" x14ac:dyDescent="0.3">
      <c r="B125" s="285" t="s">
        <v>30</v>
      </c>
      <c r="C125" s="243">
        <f>13000*0.3</f>
        <v>3900</v>
      </c>
      <c r="D125" s="243">
        <f>18000*0.3</f>
        <v>5400</v>
      </c>
      <c r="E125" s="243">
        <f>26000*0.3</f>
        <v>7800</v>
      </c>
      <c r="F125" s="292">
        <f>27000*0.3</f>
        <v>8100</v>
      </c>
    </row>
    <row r="126" spans="2:6" s="90" customFormat="1" ht="45.75" thickBot="1" x14ac:dyDescent="0.3">
      <c r="B126" s="287" t="s">
        <v>31</v>
      </c>
      <c r="C126" s="165"/>
      <c r="D126" s="293"/>
      <c r="E126" s="293"/>
      <c r="F126" s="294"/>
    </row>
    <row r="127" spans="2:6" s="90" customFormat="1" ht="45.75" thickBot="1" x14ac:dyDescent="0.3">
      <c r="B127" s="287" t="s">
        <v>819</v>
      </c>
      <c r="C127" s="165"/>
      <c r="D127" s="164"/>
      <c r="E127" s="164"/>
      <c r="F127" s="291"/>
    </row>
    <row r="128" spans="2:6" s="90" customFormat="1" ht="15.75" thickBot="1" x14ac:dyDescent="0.3">
      <c r="B128" s="285" t="s">
        <v>32</v>
      </c>
      <c r="C128" s="165"/>
      <c r="D128" s="164"/>
      <c r="E128" s="164"/>
      <c r="F128" s="291"/>
    </row>
    <row r="129" spans="2:6" s="90" customFormat="1" ht="30.75" thickBot="1" x14ac:dyDescent="0.3">
      <c r="B129" s="287" t="s">
        <v>33</v>
      </c>
      <c r="C129" s="165"/>
      <c r="D129" s="164"/>
      <c r="E129" s="164"/>
      <c r="F129" s="291"/>
    </row>
    <row r="130" spans="2:6" s="90" customFormat="1" ht="30.75" thickBot="1" x14ac:dyDescent="0.3">
      <c r="B130" s="287" t="s">
        <v>820</v>
      </c>
      <c r="C130" s="165"/>
      <c r="D130" s="164"/>
      <c r="E130" s="164"/>
      <c r="F130" s="291"/>
    </row>
    <row r="131" spans="2:6" s="90" customFormat="1" x14ac:dyDescent="0.25">
      <c r="B131" s="295" t="s">
        <v>34</v>
      </c>
      <c r="C131" s="296"/>
      <c r="D131" s="297"/>
      <c r="E131" s="297"/>
      <c r="F131" s="298"/>
    </row>
    <row r="132" spans="2:6" s="90" customFormat="1" ht="45.75" thickBot="1" x14ac:dyDescent="0.3">
      <c r="B132" s="299" t="s">
        <v>35</v>
      </c>
      <c r="C132" s="300"/>
      <c r="D132" s="301"/>
      <c r="E132" s="301"/>
      <c r="F132" s="302"/>
    </row>
    <row r="133" spans="2:6" s="90" customFormat="1" ht="45.75" thickBot="1" x14ac:dyDescent="0.3">
      <c r="B133" s="287" t="s">
        <v>821</v>
      </c>
      <c r="C133" s="165"/>
      <c r="D133" s="164"/>
      <c r="E133" s="164"/>
      <c r="F133" s="291"/>
    </row>
    <row r="134" spans="2:6" s="90" customFormat="1" ht="15.75" thickBot="1" x14ac:dyDescent="0.3">
      <c r="B134" s="285" t="s">
        <v>36</v>
      </c>
      <c r="C134" s="165"/>
      <c r="D134" s="164"/>
      <c r="E134" s="164"/>
      <c r="F134" s="291"/>
    </row>
    <row r="135" spans="2:6" s="90" customFormat="1" ht="45.75" thickBot="1" x14ac:dyDescent="0.3">
      <c r="B135" s="287" t="s">
        <v>37</v>
      </c>
      <c r="C135" s="165"/>
      <c r="D135" s="164"/>
      <c r="E135" s="164"/>
      <c r="F135" s="291"/>
    </row>
    <row r="136" spans="2:6" s="90" customFormat="1" ht="45.75" thickBot="1" x14ac:dyDescent="0.3">
      <c r="B136" s="287" t="s">
        <v>822</v>
      </c>
      <c r="C136" s="165"/>
      <c r="D136" s="164"/>
      <c r="E136" s="164"/>
      <c r="F136" s="291"/>
    </row>
    <row r="137" spans="2:6" s="90" customFormat="1" ht="30.75" thickBot="1" x14ac:dyDescent="0.3">
      <c r="B137" s="285" t="s">
        <v>38</v>
      </c>
      <c r="C137" s="165">
        <v>0</v>
      </c>
      <c r="D137" s="164">
        <v>0</v>
      </c>
      <c r="E137" s="164">
        <v>0</v>
      </c>
      <c r="F137" s="291">
        <v>0</v>
      </c>
    </row>
    <row r="138" spans="2:6" s="90" customFormat="1" ht="45.75" thickBot="1" x14ac:dyDescent="0.3">
      <c r="B138" s="287" t="s">
        <v>39</v>
      </c>
      <c r="C138" s="165"/>
      <c r="D138" s="164"/>
      <c r="E138" s="164"/>
      <c r="F138" s="291"/>
    </row>
    <row r="139" spans="2:6" s="90" customFormat="1" ht="45.75" thickBot="1" x14ac:dyDescent="0.3">
      <c r="B139" s="287" t="s">
        <v>823</v>
      </c>
      <c r="C139" s="165"/>
      <c r="D139" s="164"/>
      <c r="E139" s="164"/>
      <c r="F139" s="291"/>
    </row>
    <row r="140" spans="2:6" s="90" customFormat="1" ht="15.75" thickBot="1" x14ac:dyDescent="0.3">
      <c r="B140" s="303" t="s">
        <v>52</v>
      </c>
      <c r="C140" s="165">
        <f>C119+C122+C125+C134+C137</f>
        <v>13500</v>
      </c>
      <c r="D140" s="165">
        <f t="shared" ref="D140:F140" si="12">D137+D134+D131+D128+D125+D122+D119</f>
        <v>15000</v>
      </c>
      <c r="E140" s="165">
        <f t="shared" si="12"/>
        <v>17400</v>
      </c>
      <c r="F140" s="304">
        <f t="shared" si="12"/>
        <v>17700</v>
      </c>
    </row>
    <row r="141" spans="2:6" s="90" customFormat="1" x14ac:dyDescent="0.25">
      <c r="B141" s="1711" t="s">
        <v>65</v>
      </c>
      <c r="C141" s="1036"/>
      <c r="D141" s="1037"/>
      <c r="E141" s="1037"/>
      <c r="F141" s="1714"/>
    </row>
    <row r="142" spans="2:6" s="90" customFormat="1" x14ac:dyDescent="0.25">
      <c r="B142" s="1712"/>
      <c r="C142" s="1039"/>
      <c r="D142" s="1040"/>
      <c r="E142" s="1040"/>
      <c r="F142" s="1715"/>
    </row>
    <row r="143" spans="2:6" s="90" customFormat="1" ht="15.75" thickBot="1" x14ac:dyDescent="0.3">
      <c r="B143" s="1713"/>
      <c r="C143" s="1042"/>
      <c r="D143" s="1043"/>
      <c r="E143" s="1043"/>
      <c r="F143" s="1716"/>
    </row>
    <row r="144" spans="2:6" s="90" customFormat="1" ht="15.75" thickBot="1" x14ac:dyDescent="0.3">
      <c r="B144" s="305" t="s">
        <v>41</v>
      </c>
      <c r="C144" s="167"/>
      <c r="D144" s="167">
        <f>D140-D111</f>
        <v>0</v>
      </c>
      <c r="E144" s="167">
        <f t="shared" ref="E144:F144" si="13">E140-E111</f>
        <v>0</v>
      </c>
      <c r="F144" s="306">
        <f t="shared" si="13"/>
        <v>0</v>
      </c>
    </row>
    <row r="145" spans="2:6" s="90" customFormat="1" ht="15.75" thickBot="1" x14ac:dyDescent="0.3">
      <c r="B145" s="1717" t="s">
        <v>63</v>
      </c>
      <c r="C145" s="990"/>
      <c r="D145" s="990"/>
      <c r="E145" s="990"/>
      <c r="F145" s="1718"/>
    </row>
    <row r="146" spans="2:6" s="90" customFormat="1" ht="15.75" thickBot="1" x14ac:dyDescent="0.3">
      <c r="B146" s="1717" t="s">
        <v>64</v>
      </c>
      <c r="C146" s="990"/>
      <c r="D146" s="990"/>
      <c r="E146" s="990"/>
      <c r="F146" s="1718"/>
    </row>
    <row r="147" spans="2:6" s="90" customFormat="1" ht="15.75" thickBot="1" x14ac:dyDescent="0.3">
      <c r="B147" s="316" t="s">
        <v>136</v>
      </c>
      <c r="C147" s="1009" t="s">
        <v>542</v>
      </c>
      <c r="D147" s="1010"/>
      <c r="E147" s="1010"/>
      <c r="F147" s="1719"/>
    </row>
    <row r="148" spans="2:6" s="90" customFormat="1" ht="15.75" thickBot="1" x14ac:dyDescent="0.3">
      <c r="B148" s="307" t="s">
        <v>16</v>
      </c>
      <c r="C148" s="992" t="s">
        <v>543</v>
      </c>
      <c r="D148" s="993"/>
      <c r="E148" s="993"/>
      <c r="F148" s="1720"/>
    </row>
    <row r="149" spans="2:6" s="90" customFormat="1" ht="43.5" customHeight="1" thickBot="1" x14ac:dyDescent="0.3">
      <c r="B149" s="272" t="s">
        <v>17</v>
      </c>
      <c r="C149" s="1721" t="s">
        <v>544</v>
      </c>
      <c r="D149" s="1722"/>
      <c r="E149" s="1722"/>
      <c r="F149" s="1723"/>
    </row>
    <row r="150" spans="2:6" s="90" customFormat="1" ht="15.75" thickBot="1" x14ac:dyDescent="0.3">
      <c r="B150" s="272" t="s">
        <v>18</v>
      </c>
      <c r="C150" s="995" t="s">
        <v>545</v>
      </c>
      <c r="D150" s="996"/>
      <c r="E150" s="996"/>
      <c r="F150" s="1724"/>
    </row>
    <row r="151" spans="2:6" s="90" customFormat="1" ht="12.75" customHeight="1" x14ac:dyDescent="0.25">
      <c r="B151" s="1725"/>
      <c r="C151" s="63">
        <v>2018</v>
      </c>
      <c r="D151" s="63">
        <v>2019</v>
      </c>
      <c r="E151" s="63">
        <v>2020</v>
      </c>
      <c r="F151" s="275">
        <v>2021</v>
      </c>
    </row>
    <row r="152" spans="2:6" s="90" customFormat="1" ht="17.25" customHeight="1" thickBot="1" x14ac:dyDescent="0.3">
      <c r="B152" s="1726"/>
      <c r="C152" s="64" t="s">
        <v>10</v>
      </c>
      <c r="D152" s="64" t="s">
        <v>11</v>
      </c>
      <c r="E152" s="64" t="s">
        <v>11</v>
      </c>
      <c r="F152" s="276" t="s">
        <v>11</v>
      </c>
    </row>
    <row r="153" spans="2:6" s="90" customFormat="1" ht="15.75" thickBot="1" x14ac:dyDescent="0.3">
      <c r="B153" s="272" t="s">
        <v>19</v>
      </c>
      <c r="C153" s="161">
        <v>43</v>
      </c>
      <c r="D153" s="161">
        <v>43</v>
      </c>
      <c r="E153" s="161">
        <v>43</v>
      </c>
      <c r="F153" s="283">
        <v>43</v>
      </c>
    </row>
    <row r="154" spans="2:6" s="90" customFormat="1" ht="15.75" thickBot="1" x14ac:dyDescent="0.3">
      <c r="B154" s="272" t="s">
        <v>20</v>
      </c>
      <c r="C154" s="161">
        <v>2000</v>
      </c>
      <c r="D154" s="161">
        <v>2000</v>
      </c>
      <c r="E154" s="161">
        <v>2000</v>
      </c>
      <c r="F154" s="283">
        <v>2000</v>
      </c>
    </row>
    <row r="155" spans="2:6" s="90" customFormat="1" ht="15.75" thickBot="1" x14ac:dyDescent="0.3">
      <c r="B155" s="272" t="s">
        <v>21</v>
      </c>
      <c r="C155" s="161">
        <f>C154/C153</f>
        <v>46.511627906976742</v>
      </c>
      <c r="D155" s="161">
        <f t="shared" ref="D155:F155" si="14">D154/D153</f>
        <v>46.511627906976742</v>
      </c>
      <c r="E155" s="161">
        <f t="shared" si="14"/>
        <v>46.511627906976742</v>
      </c>
      <c r="F155" s="283">
        <f t="shared" si="14"/>
        <v>46.511627906976742</v>
      </c>
    </row>
    <row r="156" spans="2:6" s="90" customFormat="1" ht="15.75" thickBot="1" x14ac:dyDescent="0.3">
      <c r="B156" s="272" t="s">
        <v>22</v>
      </c>
      <c r="C156" s="145" t="s">
        <v>23</v>
      </c>
      <c r="D156" s="162">
        <f>D153/C153-1</f>
        <v>0</v>
      </c>
      <c r="E156" s="162">
        <f t="shared" ref="E156:F158" si="15">E153/D153-1</f>
        <v>0</v>
      </c>
      <c r="F156" s="284">
        <f t="shared" si="15"/>
        <v>0</v>
      </c>
    </row>
    <row r="157" spans="2:6" s="90" customFormat="1" ht="15.75" thickBot="1" x14ac:dyDescent="0.3">
      <c r="B157" s="272" t="s">
        <v>24</v>
      </c>
      <c r="C157" s="145" t="s">
        <v>23</v>
      </c>
      <c r="D157" s="162">
        <f>D154/C154-1</f>
        <v>0</v>
      </c>
      <c r="E157" s="162">
        <f t="shared" si="15"/>
        <v>0</v>
      </c>
      <c r="F157" s="284">
        <f t="shared" si="15"/>
        <v>0</v>
      </c>
    </row>
    <row r="158" spans="2:6" s="90" customFormat="1" ht="15.75" thickBot="1" x14ac:dyDescent="0.3">
      <c r="B158" s="272" t="s">
        <v>25</v>
      </c>
      <c r="C158" s="145" t="s">
        <v>23</v>
      </c>
      <c r="D158" s="162">
        <f>D155/C155-1</f>
        <v>0</v>
      </c>
      <c r="E158" s="162">
        <f t="shared" si="15"/>
        <v>0</v>
      </c>
      <c r="F158" s="284">
        <f t="shared" si="15"/>
        <v>0</v>
      </c>
    </row>
    <row r="159" spans="2:6" s="90" customFormat="1" ht="15.75" thickBot="1" x14ac:dyDescent="0.3">
      <c r="B159" s="1727" t="s">
        <v>118</v>
      </c>
      <c r="C159" s="1031"/>
      <c r="D159" s="1031"/>
      <c r="E159" s="1031"/>
      <c r="F159" s="1728"/>
    </row>
    <row r="160" spans="2:6" s="90" customFormat="1" ht="12.75" customHeight="1" x14ac:dyDescent="0.25">
      <c r="B160" s="1725"/>
      <c r="C160" s="63">
        <v>2018</v>
      </c>
      <c r="D160" s="63">
        <v>2019</v>
      </c>
      <c r="E160" s="63">
        <v>2020</v>
      </c>
      <c r="F160" s="275">
        <v>2021</v>
      </c>
    </row>
    <row r="161" spans="2:6" s="90" customFormat="1" ht="15.75" customHeight="1" thickBot="1" x14ac:dyDescent="0.3">
      <c r="B161" s="1726"/>
      <c r="C161" s="64" t="s">
        <v>10</v>
      </c>
      <c r="D161" s="64" t="s">
        <v>11</v>
      </c>
      <c r="E161" s="64" t="s">
        <v>11</v>
      </c>
      <c r="F161" s="276" t="s">
        <v>11</v>
      </c>
    </row>
    <row r="162" spans="2:6" s="90" customFormat="1" x14ac:dyDescent="0.25">
      <c r="B162" s="295" t="s">
        <v>58</v>
      </c>
      <c r="C162" s="297"/>
      <c r="D162" s="297"/>
      <c r="E162" s="297"/>
      <c r="F162" s="298"/>
    </row>
    <row r="163" spans="2:6" s="90" customFormat="1" ht="15.75" thickBot="1" x14ac:dyDescent="0.3">
      <c r="B163" s="317" t="s">
        <v>59</v>
      </c>
      <c r="C163" s="300">
        <v>2000</v>
      </c>
      <c r="D163" s="318">
        <v>2000</v>
      </c>
      <c r="E163" s="318">
        <v>2000</v>
      </c>
      <c r="F163" s="302">
        <v>2000</v>
      </c>
    </row>
    <row r="164" spans="2:6" s="90" customFormat="1" ht="15.75" thickBot="1" x14ac:dyDescent="0.3">
      <c r="B164" s="319" t="s">
        <v>40</v>
      </c>
      <c r="C164" s="165">
        <f>C163</f>
        <v>2000</v>
      </c>
      <c r="D164" s="165">
        <f t="shared" ref="D164:F164" si="16">D163+D162</f>
        <v>2000</v>
      </c>
      <c r="E164" s="165">
        <f t="shared" si="16"/>
        <v>2000</v>
      </c>
      <c r="F164" s="304">
        <f t="shared" si="16"/>
        <v>2000</v>
      </c>
    </row>
    <row r="165" spans="2:6" s="90" customFormat="1" x14ac:dyDescent="0.25">
      <c r="B165" s="1711" t="s">
        <v>60</v>
      </c>
      <c r="C165" s="1036"/>
      <c r="D165" s="1037"/>
      <c r="E165" s="1037"/>
      <c r="F165" s="1714"/>
    </row>
    <row r="166" spans="2:6" s="90" customFormat="1" x14ac:dyDescent="0.25">
      <c r="B166" s="1712"/>
      <c r="C166" s="1039"/>
      <c r="D166" s="1040"/>
      <c r="E166" s="1040"/>
      <c r="F166" s="1715"/>
    </row>
    <row r="167" spans="2:6" s="90" customFormat="1" ht="15" customHeight="1" thickBot="1" x14ac:dyDescent="0.3">
      <c r="B167" s="1713"/>
      <c r="C167" s="1042"/>
      <c r="D167" s="1043"/>
      <c r="E167" s="1043"/>
      <c r="F167" s="1716"/>
    </row>
    <row r="168" spans="2:6" s="90" customFormat="1" ht="15.75" thickBot="1" x14ac:dyDescent="0.3">
      <c r="B168" s="305" t="s">
        <v>41</v>
      </c>
      <c r="C168" s="167">
        <f>C164+C140+C100+C57</f>
        <v>47000</v>
      </c>
      <c r="D168" s="167">
        <f>D164+D140+D100+D57</f>
        <v>52000</v>
      </c>
      <c r="E168" s="167">
        <f>E164+E140+E100+E57</f>
        <v>60000</v>
      </c>
      <c r="F168" s="306">
        <f>F164+F140+F100+F57</f>
        <v>61000</v>
      </c>
    </row>
    <row r="169" spans="2:6" s="90" customFormat="1" ht="30.75" thickBot="1" x14ac:dyDescent="0.3">
      <c r="B169" s="320" t="s">
        <v>96</v>
      </c>
      <c r="C169" s="164">
        <v>30</v>
      </c>
      <c r="D169" s="164">
        <v>30</v>
      </c>
      <c r="E169" s="164">
        <v>30</v>
      </c>
      <c r="F169" s="291">
        <v>30</v>
      </c>
    </row>
    <row r="170" spans="2:6" s="90" customFormat="1" ht="30" x14ac:dyDescent="0.25">
      <c r="B170" s="321" t="s">
        <v>97</v>
      </c>
      <c r="C170" s="297">
        <v>6</v>
      </c>
      <c r="D170" s="297"/>
      <c r="E170" s="297"/>
      <c r="F170" s="298"/>
    </row>
    <row r="171" spans="2:6" s="90" customFormat="1" x14ac:dyDescent="0.25">
      <c r="B171" s="184"/>
      <c r="C171" s="185"/>
      <c r="D171" s="185"/>
      <c r="E171" s="185"/>
      <c r="F171" s="185"/>
    </row>
    <row r="172" spans="2:6" s="90" customFormat="1" x14ac:dyDescent="0.25">
      <c r="B172" s="184"/>
      <c r="C172" s="185"/>
      <c r="D172" s="185"/>
      <c r="E172" s="185"/>
      <c r="F172" s="185"/>
    </row>
    <row r="173" spans="2:6" x14ac:dyDescent="0.25">
      <c r="B173" s="184"/>
      <c r="C173" s="185"/>
      <c r="D173" s="185"/>
      <c r="E173" s="185"/>
      <c r="F173" s="185"/>
    </row>
  </sheetData>
  <mergeCells count="49">
    <mergeCell ref="B20:F20"/>
    <mergeCell ref="B2:F2"/>
    <mergeCell ref="C4:F4"/>
    <mergeCell ref="C5:F5"/>
    <mergeCell ref="C6:F6"/>
    <mergeCell ref="B7:F7"/>
    <mergeCell ref="B8:F8"/>
    <mergeCell ref="C10:F10"/>
    <mergeCell ref="B11:B12"/>
    <mergeCell ref="C16:F16"/>
    <mergeCell ref="B17:F17"/>
    <mergeCell ref="C65:F65"/>
    <mergeCell ref="B21:F21"/>
    <mergeCell ref="C22:F22"/>
    <mergeCell ref="C23:F23"/>
    <mergeCell ref="C24:F24"/>
    <mergeCell ref="B25:B26"/>
    <mergeCell ref="B33:F33"/>
    <mergeCell ref="B34:B35"/>
    <mergeCell ref="B58:B60"/>
    <mergeCell ref="C58:F60"/>
    <mergeCell ref="B62:B64"/>
    <mergeCell ref="C62:F64"/>
    <mergeCell ref="B117:B118"/>
    <mergeCell ref="C66:F66"/>
    <mergeCell ref="C67:F67"/>
    <mergeCell ref="B68:B69"/>
    <mergeCell ref="B76:F76"/>
    <mergeCell ref="B77:B78"/>
    <mergeCell ref="B101:B103"/>
    <mergeCell ref="C101:F103"/>
    <mergeCell ref="C105:F105"/>
    <mergeCell ref="C106:F106"/>
    <mergeCell ref="C107:F107"/>
    <mergeCell ref="B108:B109"/>
    <mergeCell ref="B116:F116"/>
    <mergeCell ref="B165:B167"/>
    <mergeCell ref="C165:F167"/>
    <mergeCell ref="B141:B143"/>
    <mergeCell ref="C141:F143"/>
    <mergeCell ref="B145:F145"/>
    <mergeCell ref="B146:F146"/>
    <mergeCell ref="C147:F147"/>
    <mergeCell ref="C148:F148"/>
    <mergeCell ref="C149:F149"/>
    <mergeCell ref="C150:F150"/>
    <mergeCell ref="B151:B152"/>
    <mergeCell ref="B159:F159"/>
    <mergeCell ref="B160:B161"/>
  </mergeCells>
  <printOptions horizontalCentered="1" verticalCentered="1"/>
  <pageMargins left="0.7" right="0.7" top="0.75" bottom="0.75" header="0.3" footer="0.3"/>
  <pageSetup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168"/>
  <sheetViews>
    <sheetView topLeftCell="A139" zoomScale="120" zoomScaleNormal="120" workbookViewId="0">
      <selection activeCell="B8" sqref="B8:F10"/>
    </sheetView>
  </sheetViews>
  <sheetFormatPr defaultRowHeight="15" x14ac:dyDescent="0.25"/>
  <cols>
    <col min="1" max="1" width="9.140625" style="152"/>
    <col min="2" max="2" width="33.28515625" style="152" customWidth="1"/>
    <col min="3" max="7" width="21.42578125" style="152" customWidth="1"/>
    <col min="8" max="8" width="9.140625" style="152"/>
    <col min="9" max="9" width="18.42578125" style="152" customWidth="1"/>
    <col min="10" max="10" width="11" style="152" customWidth="1"/>
    <col min="11" max="11" width="11" style="152" bestFit="1" customWidth="1"/>
    <col min="12" max="16384" width="9.140625" style="152"/>
  </cols>
  <sheetData>
    <row r="2" spans="2:8" ht="18" customHeight="1" x14ac:dyDescent="0.25">
      <c r="B2" s="762" t="s">
        <v>0</v>
      </c>
      <c r="C2" s="762"/>
      <c r="D2" s="762"/>
      <c r="E2" s="762"/>
      <c r="F2" s="762"/>
      <c r="G2" s="1"/>
    </row>
    <row r="3" spans="2:8" ht="15.75" thickBot="1" x14ac:dyDescent="0.3"/>
    <row r="4" spans="2:8" ht="15.75" thickBot="1" x14ac:dyDescent="0.3">
      <c r="B4" s="153" t="s">
        <v>2</v>
      </c>
      <c r="C4" s="979" t="s">
        <v>521</v>
      </c>
      <c r="D4" s="979"/>
      <c r="E4" s="979"/>
      <c r="F4" s="979"/>
    </row>
    <row r="5" spans="2:8" ht="15.75" thickBot="1" x14ac:dyDescent="0.3">
      <c r="B5" s="153" t="s">
        <v>3</v>
      </c>
      <c r="C5" s="1048" t="s">
        <v>4</v>
      </c>
      <c r="D5" s="981"/>
      <c r="E5" s="981"/>
      <c r="F5" s="982"/>
    </row>
    <row r="6" spans="2:8" ht="15.75" thickBot="1" x14ac:dyDescent="0.3">
      <c r="B6" s="153" t="s">
        <v>5</v>
      </c>
      <c r="C6" s="983" t="s">
        <v>6</v>
      </c>
      <c r="D6" s="984"/>
      <c r="E6" s="984"/>
      <c r="F6" s="985"/>
    </row>
    <row r="7" spans="2:8" ht="15.75" thickBot="1" x14ac:dyDescent="0.3">
      <c r="B7" s="986" t="s">
        <v>7</v>
      </c>
      <c r="C7" s="987"/>
      <c r="D7" s="987"/>
      <c r="E7" s="987"/>
      <c r="F7" s="988"/>
    </row>
    <row r="8" spans="2:8" ht="15.75" customHeight="1" thickBot="1" x14ac:dyDescent="0.3">
      <c r="B8" s="1003" t="s">
        <v>697</v>
      </c>
      <c r="C8" s="1004"/>
      <c r="D8" s="1004"/>
      <c r="E8" s="1004"/>
      <c r="F8" s="1005"/>
    </row>
    <row r="9" spans="2:8" ht="36.75" customHeight="1" thickBot="1" x14ac:dyDescent="0.3">
      <c r="B9" s="1003"/>
      <c r="C9" s="1004"/>
      <c r="D9" s="1004"/>
      <c r="E9" s="1004"/>
      <c r="F9" s="1005"/>
    </row>
    <row r="10" spans="2:8" ht="15.75" thickBot="1" x14ac:dyDescent="0.3">
      <c r="B10" s="1003"/>
      <c r="C10" s="1004"/>
      <c r="D10" s="1004"/>
      <c r="E10" s="1004"/>
      <c r="F10" s="1005"/>
    </row>
    <row r="11" spans="2:8" ht="33" customHeight="1" thickBot="1" x14ac:dyDescent="0.3">
      <c r="B11" s="154" t="s">
        <v>8</v>
      </c>
      <c r="C11" s="1006" t="s">
        <v>698</v>
      </c>
      <c r="D11" s="993"/>
      <c r="E11" s="993"/>
      <c r="F11" s="994"/>
      <c r="H11" s="152" t="s">
        <v>699</v>
      </c>
    </row>
    <row r="12" spans="2:8" ht="23.25" customHeight="1" x14ac:dyDescent="0.25">
      <c r="B12" s="998" t="s">
        <v>102</v>
      </c>
      <c r="C12" s="155">
        <v>2018</v>
      </c>
      <c r="D12" s="155">
        <v>2019</v>
      </c>
      <c r="E12" s="155">
        <v>2020</v>
      </c>
      <c r="F12" s="155">
        <v>2021</v>
      </c>
    </row>
    <row r="13" spans="2:8" ht="15.75" thickBot="1" x14ac:dyDescent="0.3">
      <c r="B13" s="999"/>
      <c r="C13" s="156" t="s">
        <v>10</v>
      </c>
      <c r="D13" s="156" t="s">
        <v>11</v>
      </c>
      <c r="E13" s="156" t="s">
        <v>11</v>
      </c>
      <c r="F13" s="156" t="s">
        <v>11</v>
      </c>
    </row>
    <row r="14" spans="2:8" ht="15.75" thickBot="1" x14ac:dyDescent="0.3">
      <c r="B14" s="146" t="s">
        <v>211</v>
      </c>
      <c r="C14" s="157" t="s">
        <v>116</v>
      </c>
      <c r="D14" s="157" t="s">
        <v>117</v>
      </c>
      <c r="E14" s="157" t="s">
        <v>117</v>
      </c>
      <c r="F14" s="157" t="s">
        <v>117</v>
      </c>
    </row>
    <row r="15" spans="2:8" ht="15.75" thickBot="1" x14ac:dyDescent="0.3">
      <c r="B15" s="62" t="s">
        <v>212</v>
      </c>
      <c r="C15" s="157" t="s">
        <v>116</v>
      </c>
      <c r="D15" s="157" t="s">
        <v>117</v>
      </c>
      <c r="E15" s="157" t="s">
        <v>117</v>
      </c>
      <c r="F15" s="157" t="s">
        <v>117</v>
      </c>
    </row>
    <row r="16" spans="2:8" ht="30.75" thickBot="1" x14ac:dyDescent="0.3">
      <c r="B16" s="62" t="s">
        <v>115</v>
      </c>
      <c r="C16" s="157" t="s">
        <v>116</v>
      </c>
      <c r="D16" s="157" t="s">
        <v>117</v>
      </c>
      <c r="E16" s="157" t="s">
        <v>117</v>
      </c>
      <c r="F16" s="157" t="s">
        <v>117</v>
      </c>
    </row>
    <row r="17" spans="2:12" ht="24.75" customHeight="1" thickBot="1" x14ac:dyDescent="0.3">
      <c r="B17" s="158" t="s">
        <v>12</v>
      </c>
      <c r="C17" s="1007" t="s">
        <v>700</v>
      </c>
      <c r="D17" s="1006"/>
      <c r="E17" s="1006"/>
      <c r="F17" s="1008"/>
    </row>
    <row r="18" spans="2:12" ht="23.25" customHeight="1" thickBot="1" x14ac:dyDescent="0.3">
      <c r="B18" s="983" t="s">
        <v>103</v>
      </c>
      <c r="C18" s="984"/>
      <c r="D18" s="984"/>
      <c r="E18" s="984"/>
      <c r="F18" s="985"/>
      <c r="I18" s="159"/>
      <c r="K18" s="159"/>
    </row>
    <row r="19" spans="2:12" ht="30.75" thickBot="1" x14ac:dyDescent="0.3">
      <c r="B19" s="146" t="s">
        <v>701</v>
      </c>
      <c r="C19" s="157" t="s">
        <v>116</v>
      </c>
      <c r="D19" s="157" t="s">
        <v>117</v>
      </c>
      <c r="E19" s="157" t="s">
        <v>117</v>
      </c>
      <c r="F19" s="157" t="s">
        <v>117</v>
      </c>
    </row>
    <row r="20" spans="2:12" ht="30.75" thickBot="1" x14ac:dyDescent="0.3">
      <c r="B20" s="62" t="s">
        <v>702</v>
      </c>
      <c r="C20" s="157" t="s">
        <v>116</v>
      </c>
      <c r="D20" s="157" t="s">
        <v>117</v>
      </c>
      <c r="E20" s="157" t="s">
        <v>117</v>
      </c>
      <c r="F20" s="157" t="s">
        <v>117</v>
      </c>
    </row>
    <row r="21" spans="2:12" ht="15.75" thickBot="1" x14ac:dyDescent="0.3">
      <c r="B21" s="989" t="s">
        <v>14</v>
      </c>
      <c r="C21" s="990"/>
      <c r="D21" s="990"/>
      <c r="E21" s="990"/>
      <c r="F21" s="991"/>
    </row>
    <row r="22" spans="2:12" ht="15.75" thickBot="1" x14ac:dyDescent="0.3">
      <c r="B22" s="989" t="s">
        <v>104</v>
      </c>
      <c r="C22" s="990"/>
      <c r="D22" s="990"/>
      <c r="E22" s="990"/>
      <c r="F22" s="991"/>
    </row>
    <row r="23" spans="2:12" ht="15.75" thickBot="1" x14ac:dyDescent="0.3">
      <c r="B23" s="160" t="s">
        <v>105</v>
      </c>
      <c r="C23" s="992" t="s">
        <v>703</v>
      </c>
      <c r="D23" s="993"/>
      <c r="E23" s="993"/>
      <c r="F23" s="994"/>
    </row>
    <row r="24" spans="2:12" ht="15.75" thickBot="1" x14ac:dyDescent="0.3">
      <c r="B24" s="62" t="s">
        <v>17</v>
      </c>
      <c r="C24" s="1045" t="s">
        <v>704</v>
      </c>
      <c r="D24" s="1046"/>
      <c r="E24" s="1046"/>
      <c r="F24" s="1047"/>
    </row>
    <row r="25" spans="2:12" ht="17.25" customHeight="1" thickBot="1" x14ac:dyDescent="0.3">
      <c r="B25" s="62" t="s">
        <v>18</v>
      </c>
      <c r="C25" s="995" t="s">
        <v>705</v>
      </c>
      <c r="D25" s="996"/>
      <c r="E25" s="996"/>
      <c r="F25" s="997"/>
    </row>
    <row r="26" spans="2:12" x14ac:dyDescent="0.25">
      <c r="B26" s="998"/>
      <c r="C26" s="63">
        <v>2018</v>
      </c>
      <c r="D26" s="63">
        <v>2019</v>
      </c>
      <c r="E26" s="63">
        <v>2020</v>
      </c>
      <c r="F26" s="63">
        <v>2021</v>
      </c>
    </row>
    <row r="27" spans="2:12" ht="12.75" customHeight="1" thickBot="1" x14ac:dyDescent="0.3">
      <c r="B27" s="999"/>
      <c r="C27" s="64" t="s">
        <v>10</v>
      </c>
      <c r="D27" s="64" t="s">
        <v>11</v>
      </c>
      <c r="E27" s="64" t="s">
        <v>11</v>
      </c>
      <c r="F27" s="64" t="s">
        <v>11</v>
      </c>
    </row>
    <row r="28" spans="2:12" ht="13.5" customHeight="1" thickBot="1" x14ac:dyDescent="0.3">
      <c r="B28" s="62" t="s">
        <v>19</v>
      </c>
      <c r="C28" s="161"/>
      <c r="D28" s="161"/>
      <c r="E28" s="161"/>
      <c r="F28" s="161"/>
    </row>
    <row r="29" spans="2:12" ht="15.75" thickBot="1" x14ac:dyDescent="0.3">
      <c r="B29" s="62" t="s">
        <v>20</v>
      </c>
      <c r="C29" s="161">
        <v>168000</v>
      </c>
      <c r="D29" s="161">
        <v>174000</v>
      </c>
      <c r="E29" s="161">
        <v>174000</v>
      </c>
      <c r="F29" s="161">
        <v>175000</v>
      </c>
    </row>
    <row r="30" spans="2:12" ht="15.75" thickBot="1" x14ac:dyDescent="0.3">
      <c r="B30" s="62" t="s">
        <v>21</v>
      </c>
      <c r="C30" s="161" t="e">
        <f>C29/C28</f>
        <v>#DIV/0!</v>
      </c>
      <c r="D30" s="161" t="e">
        <f t="shared" ref="D30:F30" si="0">D29/D28</f>
        <v>#DIV/0!</v>
      </c>
      <c r="E30" s="161" t="e">
        <f t="shared" si="0"/>
        <v>#DIV/0!</v>
      </c>
      <c r="F30" s="161" t="e">
        <f t="shared" si="0"/>
        <v>#DIV/0!</v>
      </c>
    </row>
    <row r="31" spans="2:12" ht="15.75" thickBot="1" x14ac:dyDescent="0.3">
      <c r="B31" s="62" t="s">
        <v>22</v>
      </c>
      <c r="C31" s="145" t="s">
        <v>23</v>
      </c>
      <c r="D31" s="162" t="e">
        <f>D28/C28-1</f>
        <v>#DIV/0!</v>
      </c>
      <c r="E31" s="162" t="e">
        <f t="shared" ref="E31:F33" si="1">E28/D28-1</f>
        <v>#DIV/0!</v>
      </c>
      <c r="F31" s="162" t="e">
        <f t="shared" si="1"/>
        <v>#DIV/0!</v>
      </c>
    </row>
    <row r="32" spans="2:12" ht="15.75" thickBot="1" x14ac:dyDescent="0.3">
      <c r="B32" s="62" t="s">
        <v>24</v>
      </c>
      <c r="C32" s="145" t="s">
        <v>23</v>
      </c>
      <c r="D32" s="162">
        <f>D29/C29-1</f>
        <v>3.5714285714285809E-2</v>
      </c>
      <c r="E32" s="162">
        <f t="shared" si="1"/>
        <v>0</v>
      </c>
      <c r="F32" s="162">
        <f t="shared" si="1"/>
        <v>5.7471264367816577E-3</v>
      </c>
      <c r="H32" s="163"/>
      <c r="I32" s="163"/>
      <c r="J32" s="163"/>
      <c r="K32" s="163"/>
      <c r="L32" s="163"/>
    </row>
    <row r="33" spans="2:6" ht="15.75" thickBot="1" x14ac:dyDescent="0.3">
      <c r="B33" s="62" t="s">
        <v>25</v>
      </c>
      <c r="C33" s="145" t="s">
        <v>23</v>
      </c>
      <c r="D33" s="162" t="e">
        <f>D30/C30-1</f>
        <v>#DIV/0!</v>
      </c>
      <c r="E33" s="162" t="e">
        <f t="shared" si="1"/>
        <v>#DIV/0!</v>
      </c>
      <c r="F33" s="162" t="e">
        <f t="shared" si="1"/>
        <v>#DIV/0!</v>
      </c>
    </row>
    <row r="34" spans="2:6" ht="15.75" thickBot="1" x14ac:dyDescent="0.3">
      <c r="B34" s="1000" t="s">
        <v>784</v>
      </c>
      <c r="C34" s="1001"/>
      <c r="D34" s="1001"/>
      <c r="E34" s="1001"/>
      <c r="F34" s="1002"/>
    </row>
    <row r="35" spans="2:6" x14ac:dyDescent="0.25">
      <c r="B35" s="998"/>
      <c r="C35" s="63">
        <v>2018</v>
      </c>
      <c r="D35" s="63">
        <v>2019</v>
      </c>
      <c r="E35" s="63">
        <v>2020</v>
      </c>
      <c r="F35" s="63">
        <v>2021</v>
      </c>
    </row>
    <row r="36" spans="2:6" ht="12.75" customHeight="1" thickBot="1" x14ac:dyDescent="0.3">
      <c r="B36" s="999"/>
      <c r="C36" s="64" t="s">
        <v>10</v>
      </c>
      <c r="D36" s="64" t="s">
        <v>11</v>
      </c>
      <c r="E36" s="64" t="s">
        <v>11</v>
      </c>
      <c r="F36" s="64" t="s">
        <v>11</v>
      </c>
    </row>
    <row r="37" spans="2:6" ht="12.75" customHeight="1" thickBot="1" x14ac:dyDescent="0.3">
      <c r="B37" s="65" t="s">
        <v>26</v>
      </c>
      <c r="C37" s="203">
        <v>111800</v>
      </c>
      <c r="D37" s="203">
        <v>111800</v>
      </c>
      <c r="E37" s="203">
        <v>111800</v>
      </c>
      <c r="F37" s="203">
        <v>111800</v>
      </c>
    </row>
    <row r="38" spans="2:6" ht="30.75" thickBot="1" x14ac:dyDescent="0.3">
      <c r="B38" s="65" t="s">
        <v>28</v>
      </c>
      <c r="C38" s="203">
        <v>22200</v>
      </c>
      <c r="D38" s="203">
        <v>22200</v>
      </c>
      <c r="E38" s="203">
        <v>22200</v>
      </c>
      <c r="F38" s="203">
        <v>22200</v>
      </c>
    </row>
    <row r="39" spans="2:6" ht="15.75" thickBot="1" x14ac:dyDescent="0.3">
      <c r="B39" s="65" t="s">
        <v>30</v>
      </c>
      <c r="C39" s="165">
        <v>33800</v>
      </c>
      <c r="D39" s="164">
        <v>39800</v>
      </c>
      <c r="E39" s="164">
        <v>39800</v>
      </c>
      <c r="F39" s="164">
        <v>40800</v>
      </c>
    </row>
    <row r="40" spans="2:6" ht="15.75" thickBot="1" x14ac:dyDescent="0.3">
      <c r="B40" s="65" t="s">
        <v>32</v>
      </c>
      <c r="C40" s="165"/>
      <c r="D40" s="164"/>
      <c r="E40" s="164"/>
      <c r="F40" s="164"/>
    </row>
    <row r="41" spans="2:6" ht="15.75" thickBot="1" x14ac:dyDescent="0.3">
      <c r="B41" s="65" t="s">
        <v>34</v>
      </c>
      <c r="C41" s="165"/>
      <c r="D41" s="164"/>
      <c r="E41" s="164"/>
      <c r="F41" s="164"/>
    </row>
    <row r="42" spans="2:6" ht="15.75" thickBot="1" x14ac:dyDescent="0.3">
      <c r="B42" s="65" t="s">
        <v>36</v>
      </c>
      <c r="C42" s="165">
        <v>200</v>
      </c>
      <c r="D42" s="164">
        <v>200</v>
      </c>
      <c r="E42" s="164">
        <v>200</v>
      </c>
      <c r="F42" s="164">
        <v>200</v>
      </c>
    </row>
    <row r="43" spans="2:6" ht="30.75" thickBot="1" x14ac:dyDescent="0.3">
      <c r="B43" s="65" t="s">
        <v>38</v>
      </c>
      <c r="C43" s="165"/>
      <c r="D43" s="164"/>
      <c r="E43" s="164"/>
      <c r="F43" s="164"/>
    </row>
    <row r="44" spans="2:6" ht="15.75" thickBot="1" x14ac:dyDescent="0.3">
      <c r="B44" s="66" t="s">
        <v>40</v>
      </c>
      <c r="C44" s="165">
        <f>C43+C42+C41+C40+C39+C38+C37</f>
        <v>168000</v>
      </c>
      <c r="D44" s="165">
        <f>D43+D42+D41+D40+D39+D38+D37</f>
        <v>174000</v>
      </c>
      <c r="E44" s="165">
        <f>E43+E42+E41+E40+E39+E38+E37</f>
        <v>174000</v>
      </c>
      <c r="F44" s="165">
        <f>F43+F42+F41+F40+F39+F38+F37</f>
        <v>175000</v>
      </c>
    </row>
    <row r="45" spans="2:6" ht="15.75" thickBot="1" x14ac:dyDescent="0.3">
      <c r="B45" s="166" t="s">
        <v>41</v>
      </c>
      <c r="C45" s="167">
        <f>IF(C44-C29=0,0,"Error")</f>
        <v>0</v>
      </c>
      <c r="D45" s="167">
        <f>IF(D44-D29=0,0,"Error")</f>
        <v>0</v>
      </c>
      <c r="E45" s="167">
        <f>IF(E44-E29=0,0,"Error")</f>
        <v>0</v>
      </c>
      <c r="F45" s="167">
        <f>IF(F44-F29=0,0,"Error")</f>
        <v>0</v>
      </c>
    </row>
    <row r="46" spans="2:6" ht="17.25" customHeight="1" thickBot="1" x14ac:dyDescent="0.3">
      <c r="B46" s="989" t="s">
        <v>63</v>
      </c>
      <c r="C46" s="990"/>
      <c r="D46" s="990"/>
      <c r="E46" s="990"/>
      <c r="F46" s="991"/>
    </row>
    <row r="47" spans="2:6" ht="15.75" thickBot="1" x14ac:dyDescent="0.3">
      <c r="B47" s="989" t="s">
        <v>56</v>
      </c>
      <c r="C47" s="990"/>
      <c r="D47" s="990"/>
      <c r="E47" s="990"/>
      <c r="F47" s="991"/>
    </row>
    <row r="48" spans="2:6" ht="15.75" thickBot="1" x14ac:dyDescent="0.3">
      <c r="B48" s="67" t="s">
        <v>136</v>
      </c>
      <c r="C48" s="1009" t="s">
        <v>706</v>
      </c>
      <c r="D48" s="1010"/>
      <c r="E48" s="1010"/>
      <c r="F48" s="1011"/>
    </row>
    <row r="49" spans="2:12" ht="15.75" thickBot="1" x14ac:dyDescent="0.3">
      <c r="B49" s="160" t="s">
        <v>16</v>
      </c>
      <c r="C49" s="992" t="s">
        <v>707</v>
      </c>
      <c r="D49" s="993"/>
      <c r="E49" s="993"/>
      <c r="F49" s="994"/>
    </row>
    <row r="50" spans="2:12" ht="15.75" customHeight="1" thickBot="1" x14ac:dyDescent="0.3">
      <c r="B50" s="62" t="s">
        <v>17</v>
      </c>
      <c r="C50" s="1009" t="s">
        <v>708</v>
      </c>
      <c r="D50" s="1010"/>
      <c r="E50" s="1010"/>
      <c r="F50" s="1011"/>
    </row>
    <row r="51" spans="2:12" ht="17.25" customHeight="1" thickBot="1" x14ac:dyDescent="0.3">
      <c r="B51" s="62" t="s">
        <v>18</v>
      </c>
      <c r="C51" s="995" t="s">
        <v>709</v>
      </c>
      <c r="D51" s="996"/>
      <c r="E51" s="996"/>
      <c r="F51" s="997"/>
    </row>
    <row r="52" spans="2:12" x14ac:dyDescent="0.25">
      <c r="B52" s="998"/>
      <c r="C52" s="63">
        <v>2018</v>
      </c>
      <c r="D52" s="63">
        <v>2019</v>
      </c>
      <c r="E52" s="63">
        <v>2020</v>
      </c>
      <c r="F52" s="63">
        <v>2021</v>
      </c>
    </row>
    <row r="53" spans="2:12" ht="12.75" customHeight="1" thickBot="1" x14ac:dyDescent="0.3">
      <c r="B53" s="999"/>
      <c r="C53" s="64" t="s">
        <v>10</v>
      </c>
      <c r="D53" s="64" t="s">
        <v>11</v>
      </c>
      <c r="E53" s="64" t="s">
        <v>11</v>
      </c>
      <c r="F53" s="64" t="s">
        <v>11</v>
      </c>
    </row>
    <row r="54" spans="2:12" ht="12.75" customHeight="1" thickBot="1" x14ac:dyDescent="0.3">
      <c r="B54" s="62" t="s">
        <v>19</v>
      </c>
      <c r="C54" s="161">
        <v>10</v>
      </c>
      <c r="D54" s="161"/>
      <c r="E54" s="161">
        <v>5</v>
      </c>
      <c r="F54" s="161">
        <v>5</v>
      </c>
    </row>
    <row r="55" spans="2:12" ht="15.75" thickBot="1" x14ac:dyDescent="0.3">
      <c r="B55" s="62" t="s">
        <v>20</v>
      </c>
      <c r="C55" s="161">
        <v>900</v>
      </c>
      <c r="D55" s="161"/>
      <c r="E55" s="161">
        <v>500</v>
      </c>
      <c r="F55" s="161">
        <v>500</v>
      </c>
    </row>
    <row r="56" spans="2:12" ht="15.75" thickBot="1" x14ac:dyDescent="0.3">
      <c r="B56" s="62" t="s">
        <v>21</v>
      </c>
      <c r="C56" s="161">
        <f>C55/C54</f>
        <v>90</v>
      </c>
      <c r="D56" s="161" t="e">
        <f t="shared" ref="D56:F56" si="2">D55/D54</f>
        <v>#DIV/0!</v>
      </c>
      <c r="E56" s="161">
        <f t="shared" si="2"/>
        <v>100</v>
      </c>
      <c r="F56" s="161">
        <f t="shared" si="2"/>
        <v>100</v>
      </c>
    </row>
    <row r="57" spans="2:12" ht="15.75" thickBot="1" x14ac:dyDescent="0.3">
      <c r="B57" s="62" t="s">
        <v>22</v>
      </c>
      <c r="C57" s="145" t="s">
        <v>23</v>
      </c>
      <c r="D57" s="162">
        <f>D54/C54-1</f>
        <v>-1</v>
      </c>
      <c r="E57" s="162" t="e">
        <f t="shared" ref="E57:F59" si="3">E54/D54-1</f>
        <v>#DIV/0!</v>
      </c>
      <c r="F57" s="162">
        <f t="shared" si="3"/>
        <v>0</v>
      </c>
    </row>
    <row r="58" spans="2:12" ht="15.75" thickBot="1" x14ac:dyDescent="0.3">
      <c r="B58" s="62" t="s">
        <v>24</v>
      </c>
      <c r="C58" s="145" t="s">
        <v>23</v>
      </c>
      <c r="D58" s="162">
        <f>D55/C55-1</f>
        <v>-1</v>
      </c>
      <c r="E58" s="162" t="e">
        <f t="shared" si="3"/>
        <v>#DIV/0!</v>
      </c>
      <c r="F58" s="162">
        <f t="shared" si="3"/>
        <v>0</v>
      </c>
      <c r="H58" s="163"/>
      <c r="I58" s="163"/>
      <c r="J58" s="163"/>
      <c r="K58" s="163"/>
      <c r="L58" s="163"/>
    </row>
    <row r="59" spans="2:12" ht="15.75" thickBot="1" x14ac:dyDescent="0.3">
      <c r="B59" s="62" t="s">
        <v>25</v>
      </c>
      <c r="C59" s="145" t="s">
        <v>23</v>
      </c>
      <c r="D59" s="162" t="e">
        <f>D56/C56-1</f>
        <v>#DIV/0!</v>
      </c>
      <c r="E59" s="162" t="e">
        <f t="shared" si="3"/>
        <v>#DIV/0!</v>
      </c>
      <c r="F59" s="162">
        <f t="shared" si="3"/>
        <v>0</v>
      </c>
    </row>
    <row r="60" spans="2:12" ht="15.75" thickBot="1" x14ac:dyDescent="0.3">
      <c r="B60" s="1000" t="s">
        <v>784</v>
      </c>
      <c r="C60" s="1001"/>
      <c r="D60" s="1001"/>
      <c r="E60" s="1001"/>
      <c r="F60" s="1002"/>
    </row>
    <row r="61" spans="2:12" x14ac:dyDescent="0.25">
      <c r="B61" s="998"/>
      <c r="C61" s="63">
        <v>2018</v>
      </c>
      <c r="D61" s="63">
        <v>2019</v>
      </c>
      <c r="E61" s="63">
        <v>2020</v>
      </c>
      <c r="F61" s="63">
        <v>2021</v>
      </c>
    </row>
    <row r="62" spans="2:12" ht="12.75" customHeight="1" thickBot="1" x14ac:dyDescent="0.3">
      <c r="B62" s="999"/>
      <c r="C62" s="64" t="s">
        <v>10</v>
      </c>
      <c r="D62" s="64" t="s">
        <v>11</v>
      </c>
      <c r="E62" s="64" t="s">
        <v>11</v>
      </c>
      <c r="F62" s="64" t="s">
        <v>11</v>
      </c>
    </row>
    <row r="63" spans="2:12" ht="13.5" customHeight="1" thickBot="1" x14ac:dyDescent="0.3">
      <c r="B63" s="65" t="s">
        <v>58</v>
      </c>
      <c r="C63" s="164"/>
      <c r="D63" s="164"/>
      <c r="E63" s="164"/>
      <c r="F63" s="164"/>
    </row>
    <row r="64" spans="2:12" ht="15.75" thickBot="1" x14ac:dyDescent="0.3">
      <c r="B64" s="65" t="s">
        <v>59</v>
      </c>
      <c r="C64" s="165">
        <v>900</v>
      </c>
      <c r="D64" s="164"/>
      <c r="E64" s="164">
        <v>500</v>
      </c>
      <c r="F64" s="164">
        <v>500</v>
      </c>
    </row>
    <row r="65" spans="2:12" ht="15.75" thickBot="1" x14ac:dyDescent="0.3">
      <c r="B65" s="66" t="s">
        <v>40</v>
      </c>
      <c r="C65" s="165">
        <f>C64+C63</f>
        <v>900</v>
      </c>
      <c r="D65" s="165"/>
      <c r="E65" s="165">
        <f t="shared" ref="E65:F65" si="4">E64+E63</f>
        <v>500</v>
      </c>
      <c r="F65" s="165">
        <f t="shared" si="4"/>
        <v>500</v>
      </c>
    </row>
    <row r="66" spans="2:12" x14ac:dyDescent="0.25">
      <c r="B66" s="1015" t="s">
        <v>60</v>
      </c>
      <c r="C66" s="1036"/>
      <c r="D66" s="1037"/>
      <c r="E66" s="1037"/>
      <c r="F66" s="1038"/>
    </row>
    <row r="67" spans="2:12" x14ac:dyDescent="0.25">
      <c r="B67" s="1016"/>
      <c r="C67" s="1039"/>
      <c r="D67" s="1040"/>
      <c r="E67" s="1040"/>
      <c r="F67" s="1041"/>
    </row>
    <row r="68" spans="2:12" ht="15.75" thickBot="1" x14ac:dyDescent="0.3">
      <c r="B68" s="1017"/>
      <c r="C68" s="1042"/>
      <c r="D68" s="1043"/>
      <c r="E68" s="1043"/>
      <c r="F68" s="1044"/>
    </row>
    <row r="69" spans="2:12" ht="15.75" thickBot="1" x14ac:dyDescent="0.3">
      <c r="B69" s="67" t="s">
        <v>136</v>
      </c>
      <c r="C69" s="1009" t="s">
        <v>710</v>
      </c>
      <c r="D69" s="1010"/>
      <c r="E69" s="1010"/>
      <c r="F69" s="1011"/>
    </row>
    <row r="70" spans="2:12" ht="15.75" thickBot="1" x14ac:dyDescent="0.3">
      <c r="B70" s="160" t="s">
        <v>42</v>
      </c>
      <c r="C70" s="992" t="s">
        <v>711</v>
      </c>
      <c r="D70" s="993"/>
      <c r="E70" s="993"/>
      <c r="F70" s="994"/>
    </row>
    <row r="71" spans="2:12" ht="15.75" customHeight="1" thickBot="1" x14ac:dyDescent="0.3">
      <c r="B71" s="62" t="s">
        <v>17</v>
      </c>
      <c r="C71" s="1009" t="s">
        <v>832</v>
      </c>
      <c r="D71" s="1010"/>
      <c r="E71" s="1010"/>
      <c r="F71" s="1011"/>
    </row>
    <row r="72" spans="2:12" ht="17.25" customHeight="1" thickBot="1" x14ac:dyDescent="0.3">
      <c r="B72" s="62" t="s">
        <v>18</v>
      </c>
      <c r="C72" s="992" t="s">
        <v>712</v>
      </c>
      <c r="D72" s="993"/>
      <c r="E72" s="993"/>
      <c r="F72" s="994"/>
    </row>
    <row r="73" spans="2:12" x14ac:dyDescent="0.25">
      <c r="B73" s="998"/>
      <c r="C73" s="63">
        <v>2018</v>
      </c>
      <c r="D73" s="63">
        <v>2019</v>
      </c>
      <c r="E73" s="63">
        <v>2020</v>
      </c>
      <c r="F73" s="63">
        <v>2021</v>
      </c>
    </row>
    <row r="74" spans="2:12" ht="12.75" customHeight="1" thickBot="1" x14ac:dyDescent="0.3">
      <c r="B74" s="999"/>
      <c r="C74" s="64" t="s">
        <v>10</v>
      </c>
      <c r="D74" s="64" t="s">
        <v>11</v>
      </c>
      <c r="E74" s="64" t="s">
        <v>11</v>
      </c>
      <c r="F74" s="64" t="s">
        <v>11</v>
      </c>
    </row>
    <row r="75" spans="2:12" ht="12" customHeight="1" thickBot="1" x14ac:dyDescent="0.3">
      <c r="B75" s="62" t="s">
        <v>19</v>
      </c>
      <c r="C75" s="161">
        <v>4</v>
      </c>
      <c r="D75" s="161">
        <v>10</v>
      </c>
      <c r="E75" s="161"/>
      <c r="F75" s="161"/>
    </row>
    <row r="76" spans="2:12" ht="15.75" thickBot="1" x14ac:dyDescent="0.3">
      <c r="B76" s="62" t="s">
        <v>20</v>
      </c>
      <c r="C76" s="161">
        <v>270</v>
      </c>
      <c r="D76" s="161">
        <v>600</v>
      </c>
      <c r="E76" s="161"/>
      <c r="F76" s="161"/>
    </row>
    <row r="77" spans="2:12" ht="15.75" thickBot="1" x14ac:dyDescent="0.3">
      <c r="B77" s="62" t="s">
        <v>21</v>
      </c>
      <c r="C77" s="161">
        <f>C76/C75</f>
        <v>67.5</v>
      </c>
      <c r="D77" s="161">
        <f t="shared" ref="D77:F77" si="5">D76/D75</f>
        <v>60</v>
      </c>
      <c r="E77" s="161" t="e">
        <f t="shared" si="5"/>
        <v>#DIV/0!</v>
      </c>
      <c r="F77" s="161" t="e">
        <f t="shared" si="5"/>
        <v>#DIV/0!</v>
      </c>
    </row>
    <row r="78" spans="2:12" ht="15.75" thickBot="1" x14ac:dyDescent="0.3">
      <c r="B78" s="62" t="s">
        <v>22</v>
      </c>
      <c r="C78" s="145" t="s">
        <v>23</v>
      </c>
      <c r="D78" s="162">
        <f>D75/C75-1</f>
        <v>1.5</v>
      </c>
      <c r="E78" s="162">
        <f t="shared" ref="E78:F80" si="6">E75/D75-1</f>
        <v>-1</v>
      </c>
      <c r="F78" s="162" t="e">
        <f t="shared" si="6"/>
        <v>#DIV/0!</v>
      </c>
    </row>
    <row r="79" spans="2:12" ht="15.75" thickBot="1" x14ac:dyDescent="0.3">
      <c r="B79" s="62" t="s">
        <v>24</v>
      </c>
      <c r="C79" s="145" t="s">
        <v>23</v>
      </c>
      <c r="D79" s="162">
        <f>D76/C76-1</f>
        <v>1.2222222222222223</v>
      </c>
      <c r="E79" s="162">
        <f t="shared" si="6"/>
        <v>-1</v>
      </c>
      <c r="F79" s="162" t="e">
        <f t="shared" si="6"/>
        <v>#DIV/0!</v>
      </c>
      <c r="H79" s="163"/>
      <c r="I79" s="163"/>
      <c r="J79" s="163"/>
      <c r="K79" s="163"/>
      <c r="L79" s="163"/>
    </row>
    <row r="80" spans="2:12" ht="15.75" thickBot="1" x14ac:dyDescent="0.3">
      <c r="B80" s="62" t="s">
        <v>25</v>
      </c>
      <c r="C80" s="145" t="s">
        <v>23</v>
      </c>
      <c r="D80" s="162">
        <f>D77/C77-1</f>
        <v>-0.11111111111111116</v>
      </c>
      <c r="E80" s="162" t="e">
        <f t="shared" si="6"/>
        <v>#DIV/0!</v>
      </c>
      <c r="F80" s="162" t="e">
        <f t="shared" si="6"/>
        <v>#DIV/0!</v>
      </c>
    </row>
    <row r="81" spans="2:6" ht="15.75" thickBot="1" x14ac:dyDescent="0.3">
      <c r="B81" s="1000" t="s">
        <v>786</v>
      </c>
      <c r="C81" s="1001"/>
      <c r="D81" s="1001"/>
      <c r="E81" s="1001"/>
      <c r="F81" s="1002"/>
    </row>
    <row r="82" spans="2:6" x14ac:dyDescent="0.25">
      <c r="B82" s="998"/>
      <c r="C82" s="63">
        <v>2018</v>
      </c>
      <c r="D82" s="63">
        <v>2019</v>
      </c>
      <c r="E82" s="63">
        <v>2020</v>
      </c>
      <c r="F82" s="63">
        <v>2021</v>
      </c>
    </row>
    <row r="83" spans="2:6" ht="12.75" customHeight="1" thickBot="1" x14ac:dyDescent="0.3">
      <c r="B83" s="999"/>
      <c r="C83" s="64" t="s">
        <v>10</v>
      </c>
      <c r="D83" s="64" t="s">
        <v>11</v>
      </c>
      <c r="E83" s="64" t="s">
        <v>11</v>
      </c>
      <c r="F83" s="64" t="s">
        <v>11</v>
      </c>
    </row>
    <row r="84" spans="2:6" ht="14.25" customHeight="1" thickBot="1" x14ac:dyDescent="0.3">
      <c r="B84" s="65" t="s">
        <v>58</v>
      </c>
      <c r="C84" s="164">
        <v>270</v>
      </c>
      <c r="D84" s="164">
        <v>600</v>
      </c>
      <c r="E84" s="164"/>
      <c r="F84" s="164"/>
    </row>
    <row r="85" spans="2:6" ht="15.75" thickBot="1" x14ac:dyDescent="0.3">
      <c r="B85" s="65" t="s">
        <v>59</v>
      </c>
      <c r="C85" s="165"/>
      <c r="D85" s="164"/>
      <c r="E85" s="164"/>
      <c r="F85" s="164"/>
    </row>
    <row r="86" spans="2:6" ht="15.75" thickBot="1" x14ac:dyDescent="0.3">
      <c r="B86" s="66" t="s">
        <v>74</v>
      </c>
      <c r="C86" s="165">
        <f>C85+C84</f>
        <v>270</v>
      </c>
      <c r="D86" s="165">
        <f t="shared" ref="D86:F86" si="7">D85+D84</f>
        <v>600</v>
      </c>
      <c r="E86" s="165">
        <f t="shared" si="7"/>
        <v>0</v>
      </c>
      <c r="F86" s="165">
        <f t="shared" si="7"/>
        <v>0</v>
      </c>
    </row>
    <row r="87" spans="2:6" ht="15.75" thickBot="1" x14ac:dyDescent="0.3">
      <c r="B87" s="989" t="s">
        <v>63</v>
      </c>
      <c r="C87" s="990"/>
      <c r="D87" s="990"/>
      <c r="E87" s="990"/>
      <c r="F87" s="991"/>
    </row>
    <row r="88" spans="2:6" ht="15.75" thickBot="1" x14ac:dyDescent="0.3">
      <c r="B88" s="989" t="s">
        <v>64</v>
      </c>
      <c r="C88" s="990"/>
      <c r="D88" s="990"/>
      <c r="E88" s="990"/>
      <c r="F88" s="991"/>
    </row>
    <row r="89" spans="2:6" ht="15.75" thickBot="1" x14ac:dyDescent="0.3">
      <c r="B89" s="67" t="s">
        <v>136</v>
      </c>
      <c r="C89" s="1009" t="s">
        <v>713</v>
      </c>
      <c r="D89" s="1010"/>
      <c r="E89" s="1010"/>
      <c r="F89" s="1011"/>
    </row>
    <row r="90" spans="2:6" ht="15.75" thickBot="1" x14ac:dyDescent="0.3">
      <c r="B90" s="160" t="s">
        <v>44</v>
      </c>
      <c r="C90" s="992" t="s">
        <v>714</v>
      </c>
      <c r="D90" s="993"/>
      <c r="E90" s="993"/>
      <c r="F90" s="994"/>
    </row>
    <row r="91" spans="2:6" ht="15.75" customHeight="1" thickBot="1" x14ac:dyDescent="0.3">
      <c r="B91" s="62" t="s">
        <v>17</v>
      </c>
      <c r="C91" s="1009" t="s">
        <v>715</v>
      </c>
      <c r="D91" s="1010"/>
      <c r="E91" s="1010"/>
      <c r="F91" s="1011"/>
    </row>
    <row r="92" spans="2:6" ht="17.25" customHeight="1" thickBot="1" x14ac:dyDescent="0.3">
      <c r="B92" s="62" t="s">
        <v>18</v>
      </c>
      <c r="C92" s="995" t="s">
        <v>716</v>
      </c>
      <c r="D92" s="996"/>
      <c r="E92" s="996"/>
      <c r="F92" s="997"/>
    </row>
    <row r="93" spans="2:6" x14ac:dyDescent="0.25">
      <c r="B93" s="998"/>
      <c r="C93" s="63">
        <v>2018</v>
      </c>
      <c r="D93" s="63">
        <v>2019</v>
      </c>
      <c r="E93" s="63">
        <v>2020</v>
      </c>
      <c r="F93" s="63">
        <v>2021</v>
      </c>
    </row>
    <row r="94" spans="2:6" ht="12.75" customHeight="1" thickBot="1" x14ac:dyDescent="0.3">
      <c r="B94" s="999"/>
      <c r="C94" s="64" t="s">
        <v>10</v>
      </c>
      <c r="D94" s="64" t="s">
        <v>11</v>
      </c>
      <c r="E94" s="64" t="s">
        <v>11</v>
      </c>
      <c r="F94" s="64" t="s">
        <v>11</v>
      </c>
    </row>
    <row r="95" spans="2:6" ht="12" customHeight="1" thickBot="1" x14ac:dyDescent="0.3">
      <c r="B95" s="62" t="s">
        <v>19</v>
      </c>
      <c r="C95" s="161">
        <v>1</v>
      </c>
      <c r="D95" s="161"/>
      <c r="E95" s="161"/>
      <c r="F95" s="161"/>
    </row>
    <row r="96" spans="2:6" ht="15.75" thickBot="1" x14ac:dyDescent="0.3">
      <c r="B96" s="62" t="s">
        <v>20</v>
      </c>
      <c r="C96" s="161">
        <v>40000</v>
      </c>
      <c r="D96" s="161"/>
      <c r="E96" s="161"/>
      <c r="F96" s="161"/>
    </row>
    <row r="97" spans="2:12" ht="15.75" thickBot="1" x14ac:dyDescent="0.3">
      <c r="B97" s="62" t="s">
        <v>21</v>
      </c>
      <c r="C97" s="161">
        <f>C96/C95</f>
        <v>40000</v>
      </c>
      <c r="D97" s="161" t="e">
        <f t="shared" ref="D97:F97" si="8">D96/D95</f>
        <v>#DIV/0!</v>
      </c>
      <c r="E97" s="161" t="e">
        <f t="shared" si="8"/>
        <v>#DIV/0!</v>
      </c>
      <c r="F97" s="161" t="e">
        <f t="shared" si="8"/>
        <v>#DIV/0!</v>
      </c>
    </row>
    <row r="98" spans="2:12" ht="15.75" thickBot="1" x14ac:dyDescent="0.3">
      <c r="B98" s="62" t="s">
        <v>22</v>
      </c>
      <c r="C98" s="145" t="s">
        <v>23</v>
      </c>
      <c r="D98" s="162">
        <f>D95/C95-1</f>
        <v>-1</v>
      </c>
      <c r="E98" s="162" t="e">
        <f t="shared" ref="E98:F100" si="9">E95/D95-1</f>
        <v>#DIV/0!</v>
      </c>
      <c r="F98" s="162" t="e">
        <f t="shared" si="9"/>
        <v>#DIV/0!</v>
      </c>
    </row>
    <row r="99" spans="2:12" ht="15.75" thickBot="1" x14ac:dyDescent="0.3">
      <c r="B99" s="62" t="s">
        <v>24</v>
      </c>
      <c r="C99" s="145" t="s">
        <v>23</v>
      </c>
      <c r="D99" s="162">
        <f>D96/C96-1</f>
        <v>-1</v>
      </c>
      <c r="E99" s="162" t="e">
        <f t="shared" si="9"/>
        <v>#DIV/0!</v>
      </c>
      <c r="F99" s="162" t="e">
        <f t="shared" si="9"/>
        <v>#DIV/0!</v>
      </c>
      <c r="H99" s="163"/>
      <c r="I99" s="163"/>
      <c r="J99" s="163"/>
      <c r="K99" s="163"/>
      <c r="L99" s="163"/>
    </row>
    <row r="100" spans="2:12" ht="15.75" thickBot="1" x14ac:dyDescent="0.3">
      <c r="B100" s="62" t="s">
        <v>25</v>
      </c>
      <c r="C100" s="145" t="s">
        <v>23</v>
      </c>
      <c r="D100" s="162" t="e">
        <f>D97/C97-1</f>
        <v>#DIV/0!</v>
      </c>
      <c r="E100" s="162" t="e">
        <f t="shared" si="9"/>
        <v>#DIV/0!</v>
      </c>
      <c r="F100" s="162" t="e">
        <f t="shared" si="9"/>
        <v>#DIV/0!</v>
      </c>
    </row>
    <row r="101" spans="2:12" ht="15.75" thickBot="1" x14ac:dyDescent="0.3">
      <c r="B101" s="1000" t="s">
        <v>787</v>
      </c>
      <c r="C101" s="1001"/>
      <c r="D101" s="1001"/>
      <c r="E101" s="1001"/>
      <c r="F101" s="1002"/>
    </row>
    <row r="102" spans="2:12" x14ac:dyDescent="0.25">
      <c r="B102" s="998"/>
      <c r="C102" s="63">
        <v>2018</v>
      </c>
      <c r="D102" s="63">
        <v>2019</v>
      </c>
      <c r="E102" s="63">
        <v>2020</v>
      </c>
      <c r="F102" s="63">
        <v>2021</v>
      </c>
    </row>
    <row r="103" spans="2:12" ht="12.75" customHeight="1" thickBot="1" x14ac:dyDescent="0.3">
      <c r="B103" s="999"/>
      <c r="C103" s="64" t="s">
        <v>10</v>
      </c>
      <c r="D103" s="64" t="s">
        <v>11</v>
      </c>
      <c r="E103" s="64" t="s">
        <v>11</v>
      </c>
      <c r="F103" s="64" t="s">
        <v>11</v>
      </c>
    </row>
    <row r="104" spans="2:12" ht="12" customHeight="1" thickBot="1" x14ac:dyDescent="0.3">
      <c r="B104" s="65" t="s">
        <v>58</v>
      </c>
      <c r="C104" s="164"/>
      <c r="D104" s="164"/>
      <c r="E104" s="164"/>
      <c r="F104" s="164"/>
    </row>
    <row r="105" spans="2:12" ht="15.75" thickBot="1" x14ac:dyDescent="0.3">
      <c r="B105" s="65" t="s">
        <v>59</v>
      </c>
      <c r="C105" s="165">
        <v>40000</v>
      </c>
      <c r="D105" s="164"/>
      <c r="E105" s="164"/>
      <c r="F105" s="164"/>
    </row>
    <row r="106" spans="2:12" ht="15.75" thickBot="1" x14ac:dyDescent="0.3">
      <c r="B106" s="66" t="s">
        <v>717</v>
      </c>
      <c r="C106" s="165">
        <f>C105+C104</f>
        <v>40000</v>
      </c>
      <c r="D106" s="165">
        <f t="shared" ref="D106:F106" si="10">D105+D104</f>
        <v>0</v>
      </c>
      <c r="E106" s="165">
        <f t="shared" si="10"/>
        <v>0</v>
      </c>
      <c r="F106" s="165">
        <f t="shared" si="10"/>
        <v>0</v>
      </c>
    </row>
    <row r="107" spans="2:12" ht="15.75" thickBot="1" x14ac:dyDescent="0.3">
      <c r="B107" s="197" t="s">
        <v>61</v>
      </c>
      <c r="C107" s="1009" t="s">
        <v>718</v>
      </c>
      <c r="D107" s="1010"/>
      <c r="E107" s="1010"/>
      <c r="F107" s="1011"/>
    </row>
    <row r="108" spans="2:12" ht="15.75" thickBot="1" x14ac:dyDescent="0.3">
      <c r="B108" s="160" t="s">
        <v>53</v>
      </c>
      <c r="C108" s="1033" t="s">
        <v>719</v>
      </c>
      <c r="D108" s="1034"/>
      <c r="E108" s="1034"/>
      <c r="F108" s="1035"/>
    </row>
    <row r="109" spans="2:12" ht="15.75" customHeight="1" thickBot="1" x14ac:dyDescent="0.3">
      <c r="B109" s="62" t="s">
        <v>17</v>
      </c>
      <c r="C109" s="1009" t="s">
        <v>720</v>
      </c>
      <c r="D109" s="1010"/>
      <c r="E109" s="1010"/>
      <c r="F109" s="1011"/>
    </row>
    <row r="110" spans="2:12" ht="15.75" thickBot="1" x14ac:dyDescent="0.3">
      <c r="B110" s="62" t="s">
        <v>18</v>
      </c>
      <c r="C110" s="995" t="s">
        <v>721</v>
      </c>
      <c r="D110" s="996"/>
      <c r="E110" s="996"/>
      <c r="F110" s="997"/>
    </row>
    <row r="111" spans="2:12" x14ac:dyDescent="0.25">
      <c r="B111" s="998"/>
      <c r="C111" s="63">
        <v>2018</v>
      </c>
      <c r="D111" s="63">
        <v>2019</v>
      </c>
      <c r="E111" s="63">
        <v>2020</v>
      </c>
      <c r="F111" s="63">
        <v>2021</v>
      </c>
    </row>
    <row r="112" spans="2:12" ht="15.75" thickBot="1" x14ac:dyDescent="0.3">
      <c r="B112" s="999"/>
      <c r="C112" s="64" t="s">
        <v>10</v>
      </c>
      <c r="D112" s="64" t="s">
        <v>11</v>
      </c>
      <c r="E112" s="64" t="s">
        <v>11</v>
      </c>
      <c r="F112" s="64" t="s">
        <v>11</v>
      </c>
    </row>
    <row r="113" spans="2:6" ht="15.75" thickBot="1" x14ac:dyDescent="0.3">
      <c r="B113" s="62" t="s">
        <v>19</v>
      </c>
      <c r="C113" s="161">
        <v>1</v>
      </c>
      <c r="D113" s="161">
        <v>1</v>
      </c>
      <c r="E113" s="161"/>
      <c r="F113" s="161"/>
    </row>
    <row r="114" spans="2:6" ht="15.75" thickBot="1" x14ac:dyDescent="0.3">
      <c r="B114" s="62" t="s">
        <v>20</v>
      </c>
      <c r="C114" s="161">
        <v>3230</v>
      </c>
      <c r="D114" s="161">
        <v>3800</v>
      </c>
      <c r="E114" s="161"/>
      <c r="F114" s="161"/>
    </row>
    <row r="115" spans="2:6" ht="15.75" thickBot="1" x14ac:dyDescent="0.3">
      <c r="B115" s="62" t="s">
        <v>21</v>
      </c>
      <c r="C115" s="161">
        <f>C114/C113</f>
        <v>3230</v>
      </c>
      <c r="D115" s="161">
        <f t="shared" ref="D115:F115" si="11">D114/D113</f>
        <v>3800</v>
      </c>
      <c r="E115" s="161" t="e">
        <f t="shared" si="11"/>
        <v>#DIV/0!</v>
      </c>
      <c r="F115" s="161" t="e">
        <f t="shared" si="11"/>
        <v>#DIV/0!</v>
      </c>
    </row>
    <row r="116" spans="2:6" ht="15.75" thickBot="1" x14ac:dyDescent="0.3">
      <c r="B116" s="62" t="s">
        <v>22</v>
      </c>
      <c r="C116" s="145" t="s">
        <v>23</v>
      </c>
      <c r="D116" s="162">
        <f>D113/C113-1</f>
        <v>0</v>
      </c>
      <c r="E116" s="162">
        <f t="shared" ref="E116:F118" si="12">E113/D113-1</f>
        <v>-1</v>
      </c>
      <c r="F116" s="162" t="e">
        <f t="shared" si="12"/>
        <v>#DIV/0!</v>
      </c>
    </row>
    <row r="117" spans="2:6" ht="15.75" thickBot="1" x14ac:dyDescent="0.3">
      <c r="B117" s="62" t="s">
        <v>24</v>
      </c>
      <c r="C117" s="145" t="s">
        <v>23</v>
      </c>
      <c r="D117" s="162">
        <f>D114/C114-1</f>
        <v>0.17647058823529416</v>
      </c>
      <c r="E117" s="162">
        <f t="shared" si="12"/>
        <v>-1</v>
      </c>
      <c r="F117" s="162" t="e">
        <f t="shared" si="12"/>
        <v>#DIV/0!</v>
      </c>
    </row>
    <row r="118" spans="2:6" ht="15.75" thickBot="1" x14ac:dyDescent="0.3">
      <c r="B118" s="62" t="s">
        <v>25</v>
      </c>
      <c r="C118" s="145" t="s">
        <v>23</v>
      </c>
      <c r="D118" s="162">
        <f>D115/C115-1</f>
        <v>0.17647058823529416</v>
      </c>
      <c r="E118" s="162" t="e">
        <f t="shared" si="12"/>
        <v>#DIV/0!</v>
      </c>
      <c r="F118" s="162" t="e">
        <f t="shared" si="12"/>
        <v>#DIV/0!</v>
      </c>
    </row>
    <row r="119" spans="2:6" ht="15.75" customHeight="1" thickBot="1" x14ac:dyDescent="0.3">
      <c r="B119" s="1000" t="s">
        <v>788</v>
      </c>
      <c r="C119" s="1001"/>
      <c r="D119" s="1001"/>
      <c r="E119" s="1001"/>
      <c r="F119" s="1002"/>
    </row>
    <row r="120" spans="2:6" x14ac:dyDescent="0.25">
      <c r="B120" s="998"/>
      <c r="C120" s="63">
        <v>2018</v>
      </c>
      <c r="D120" s="63">
        <v>2019</v>
      </c>
      <c r="E120" s="63">
        <v>2020</v>
      </c>
      <c r="F120" s="63">
        <v>2021</v>
      </c>
    </row>
    <row r="121" spans="2:6" ht="15.75" thickBot="1" x14ac:dyDescent="0.3">
      <c r="B121" s="999"/>
      <c r="C121" s="64" t="s">
        <v>10</v>
      </c>
      <c r="D121" s="64" t="s">
        <v>11</v>
      </c>
      <c r="E121" s="64" t="s">
        <v>11</v>
      </c>
      <c r="F121" s="64" t="s">
        <v>11</v>
      </c>
    </row>
    <row r="122" spans="2:6" ht="15.75" thickBot="1" x14ac:dyDescent="0.3">
      <c r="B122" s="65" t="s">
        <v>58</v>
      </c>
      <c r="C122" s="164"/>
      <c r="D122" s="164"/>
      <c r="E122" s="164"/>
      <c r="F122" s="164"/>
    </row>
    <row r="123" spans="2:6" ht="15.75" thickBot="1" x14ac:dyDescent="0.3">
      <c r="B123" s="65" t="s">
        <v>59</v>
      </c>
      <c r="C123" s="165">
        <v>3230</v>
      </c>
      <c r="D123" s="164">
        <v>3800</v>
      </c>
      <c r="E123" s="164"/>
      <c r="F123" s="164"/>
    </row>
    <row r="124" spans="2:6" ht="15.75" thickBot="1" x14ac:dyDescent="0.3">
      <c r="B124" s="66" t="s">
        <v>722</v>
      </c>
      <c r="C124" s="165">
        <f>C123+C122</f>
        <v>3230</v>
      </c>
      <c r="D124" s="165">
        <f t="shared" ref="D124:F124" si="13">D123+D122</f>
        <v>3800</v>
      </c>
      <c r="E124" s="165">
        <f t="shared" si="13"/>
        <v>0</v>
      </c>
      <c r="F124" s="165">
        <f t="shared" si="13"/>
        <v>0</v>
      </c>
    </row>
    <row r="125" spans="2:6" ht="15.75" thickBot="1" x14ac:dyDescent="0.3">
      <c r="B125" s="197" t="s">
        <v>61</v>
      </c>
      <c r="C125" s="1009" t="s">
        <v>723</v>
      </c>
      <c r="D125" s="1010"/>
      <c r="E125" s="1010"/>
      <c r="F125" s="1011"/>
    </row>
    <row r="126" spans="2:6" ht="15.75" thickBot="1" x14ac:dyDescent="0.3">
      <c r="B126" s="160" t="s">
        <v>724</v>
      </c>
      <c r="C126" s="1033" t="s">
        <v>725</v>
      </c>
      <c r="D126" s="1034"/>
      <c r="E126" s="1034"/>
      <c r="F126" s="1035"/>
    </row>
    <row r="127" spans="2:6" ht="15.75" customHeight="1" thickBot="1" x14ac:dyDescent="0.3">
      <c r="B127" s="62" t="s">
        <v>17</v>
      </c>
      <c r="C127" s="1009" t="s">
        <v>726</v>
      </c>
      <c r="D127" s="1010"/>
      <c r="E127" s="1010"/>
      <c r="F127" s="1011"/>
    </row>
    <row r="128" spans="2:6" ht="17.25" customHeight="1" thickBot="1" x14ac:dyDescent="0.3">
      <c r="B128" s="62" t="s">
        <v>18</v>
      </c>
      <c r="C128" s="995" t="s">
        <v>727</v>
      </c>
      <c r="D128" s="996"/>
      <c r="E128" s="996"/>
      <c r="F128" s="997"/>
    </row>
    <row r="129" spans="2:12" x14ac:dyDescent="0.25">
      <c r="B129" s="998"/>
      <c r="C129" s="63">
        <v>2018</v>
      </c>
      <c r="D129" s="63">
        <v>2019</v>
      </c>
      <c r="E129" s="63">
        <v>2020</v>
      </c>
      <c r="F129" s="63">
        <v>2021</v>
      </c>
    </row>
    <row r="130" spans="2:12" ht="14.25" customHeight="1" thickBot="1" x14ac:dyDescent="0.3">
      <c r="B130" s="999"/>
      <c r="C130" s="64" t="s">
        <v>10</v>
      </c>
      <c r="D130" s="64" t="s">
        <v>11</v>
      </c>
      <c r="E130" s="64" t="s">
        <v>11</v>
      </c>
      <c r="F130" s="64" t="s">
        <v>11</v>
      </c>
    </row>
    <row r="131" spans="2:12" ht="12" customHeight="1" thickBot="1" x14ac:dyDescent="0.3">
      <c r="B131" s="62" t="s">
        <v>19</v>
      </c>
      <c r="C131" s="161">
        <v>6</v>
      </c>
      <c r="D131" s="161">
        <v>6</v>
      </c>
      <c r="E131" s="161"/>
      <c r="F131" s="161"/>
    </row>
    <row r="132" spans="2:12" ht="15.75" thickBot="1" x14ac:dyDescent="0.3">
      <c r="B132" s="62" t="s">
        <v>20</v>
      </c>
      <c r="C132" s="161">
        <v>600</v>
      </c>
      <c r="D132" s="161">
        <v>600</v>
      </c>
      <c r="E132" s="161"/>
      <c r="F132" s="161"/>
    </row>
    <row r="133" spans="2:12" ht="15.75" thickBot="1" x14ac:dyDescent="0.3">
      <c r="B133" s="62" t="s">
        <v>21</v>
      </c>
      <c r="C133" s="161">
        <f>C132/C131</f>
        <v>100</v>
      </c>
      <c r="D133" s="161">
        <f t="shared" ref="D133:F133" si="14">D132/D131</f>
        <v>100</v>
      </c>
      <c r="E133" s="161" t="e">
        <f t="shared" si="14"/>
        <v>#DIV/0!</v>
      </c>
      <c r="F133" s="161" t="e">
        <f t="shared" si="14"/>
        <v>#DIV/0!</v>
      </c>
    </row>
    <row r="134" spans="2:12" ht="15.75" thickBot="1" x14ac:dyDescent="0.3">
      <c r="B134" s="62" t="s">
        <v>22</v>
      </c>
      <c r="C134" s="145" t="s">
        <v>23</v>
      </c>
      <c r="D134" s="162">
        <f>D131/C131-1</f>
        <v>0</v>
      </c>
      <c r="E134" s="162">
        <f t="shared" ref="E134:F136" si="15">E131/D131-1</f>
        <v>-1</v>
      </c>
      <c r="F134" s="162" t="e">
        <f t="shared" si="15"/>
        <v>#DIV/0!</v>
      </c>
    </row>
    <row r="135" spans="2:12" ht="15.75" thickBot="1" x14ac:dyDescent="0.3">
      <c r="B135" s="62" t="s">
        <v>24</v>
      </c>
      <c r="C135" s="145" t="s">
        <v>23</v>
      </c>
      <c r="D135" s="162">
        <f>D132/C132-1</f>
        <v>0</v>
      </c>
      <c r="E135" s="162">
        <f t="shared" si="15"/>
        <v>-1</v>
      </c>
      <c r="F135" s="162" t="e">
        <f t="shared" si="15"/>
        <v>#DIV/0!</v>
      </c>
      <c r="H135" s="163"/>
      <c r="I135" s="163"/>
      <c r="J135" s="163"/>
      <c r="K135" s="163"/>
      <c r="L135" s="163"/>
    </row>
    <row r="136" spans="2:12" ht="15.75" thickBot="1" x14ac:dyDescent="0.3">
      <c r="B136" s="62" t="s">
        <v>25</v>
      </c>
      <c r="C136" s="145" t="s">
        <v>23</v>
      </c>
      <c r="D136" s="162">
        <f>D133/C133-1</f>
        <v>0</v>
      </c>
      <c r="E136" s="162" t="e">
        <f t="shared" si="15"/>
        <v>#DIV/0!</v>
      </c>
      <c r="F136" s="162" t="e">
        <f t="shared" si="15"/>
        <v>#DIV/0!</v>
      </c>
    </row>
    <row r="137" spans="2:12" ht="15.75" thickBot="1" x14ac:dyDescent="0.3">
      <c r="B137" s="1000" t="s">
        <v>789</v>
      </c>
      <c r="C137" s="1001"/>
      <c r="D137" s="1001"/>
      <c r="E137" s="1001"/>
      <c r="F137" s="1002"/>
    </row>
    <row r="138" spans="2:12" x14ac:dyDescent="0.25">
      <c r="B138" s="998"/>
      <c r="C138" s="63">
        <v>2018</v>
      </c>
      <c r="D138" s="63">
        <v>2019</v>
      </c>
      <c r="E138" s="63">
        <v>2020</v>
      </c>
      <c r="F138" s="63">
        <v>2021</v>
      </c>
    </row>
    <row r="139" spans="2:12" ht="12.75" customHeight="1" thickBot="1" x14ac:dyDescent="0.3">
      <c r="B139" s="999"/>
      <c r="C139" s="64" t="s">
        <v>10</v>
      </c>
      <c r="D139" s="64" t="s">
        <v>11</v>
      </c>
      <c r="E139" s="64" t="s">
        <v>11</v>
      </c>
      <c r="F139" s="64" t="s">
        <v>11</v>
      </c>
    </row>
    <row r="140" spans="2:12" ht="12" customHeight="1" thickBot="1" x14ac:dyDescent="0.3">
      <c r="B140" s="65" t="s">
        <v>58</v>
      </c>
      <c r="C140" s="164"/>
      <c r="D140" s="164"/>
      <c r="E140" s="164"/>
      <c r="F140" s="164"/>
    </row>
    <row r="141" spans="2:12" ht="15.75" thickBot="1" x14ac:dyDescent="0.3">
      <c r="B141" s="65" t="s">
        <v>59</v>
      </c>
      <c r="C141" s="165">
        <v>600</v>
      </c>
      <c r="D141" s="164">
        <v>600</v>
      </c>
      <c r="E141" s="164"/>
      <c r="F141" s="164"/>
    </row>
    <row r="142" spans="2:12" ht="15.75" thickBot="1" x14ac:dyDescent="0.3">
      <c r="B142" s="66" t="s">
        <v>121</v>
      </c>
      <c r="C142" s="165">
        <f>C141+C140</f>
        <v>600</v>
      </c>
      <c r="D142" s="165">
        <f t="shared" ref="D142:F142" si="16">D141+D140</f>
        <v>600</v>
      </c>
      <c r="E142" s="165">
        <f t="shared" si="16"/>
        <v>0</v>
      </c>
      <c r="F142" s="165">
        <f t="shared" si="16"/>
        <v>0</v>
      </c>
    </row>
    <row r="143" spans="2:12" ht="13.5" customHeight="1" thickBot="1" x14ac:dyDescent="0.3">
      <c r="B143" s="369"/>
      <c r="C143" s="370"/>
      <c r="D143" s="370"/>
      <c r="E143" s="370"/>
      <c r="F143" s="370"/>
    </row>
    <row r="144" spans="2:12" ht="45" customHeight="1" thickBot="1" x14ac:dyDescent="0.3">
      <c r="B144" s="158" t="s">
        <v>82</v>
      </c>
      <c r="C144" s="177">
        <f>C132+C114+C96+C76+C55+C29</f>
        <v>213000</v>
      </c>
      <c r="D144" s="177">
        <f t="shared" ref="D144:F144" si="17">D132+D114+D96+D76+D55+D29</f>
        <v>179000</v>
      </c>
      <c r="E144" s="177">
        <f t="shared" si="17"/>
        <v>174500</v>
      </c>
      <c r="F144" s="177">
        <f t="shared" si="17"/>
        <v>175500</v>
      </c>
    </row>
    <row r="145" spans="2:6" ht="34.5" customHeight="1" thickBot="1" x14ac:dyDescent="0.3">
      <c r="B145" s="158" t="s">
        <v>83</v>
      </c>
      <c r="C145" s="177">
        <f>C147+C149+C151+C153+C155+C157+C159+C161+C163</f>
        <v>213000</v>
      </c>
      <c r="D145" s="177">
        <f>D147+D149+D151+D153+D155+D157+D159+D161+D163</f>
        <v>179000</v>
      </c>
      <c r="E145" s="177">
        <f>E147+E149+E151+E153+E155+E157+E159+E161+E163</f>
        <v>174500</v>
      </c>
      <c r="F145" s="177">
        <f>F147+F149+F151+F153+F155+F157+F159+F161+F163</f>
        <v>175500</v>
      </c>
    </row>
    <row r="146" spans="2:6" ht="30.75" thickBot="1" x14ac:dyDescent="0.3">
      <c r="B146" s="178" t="s">
        <v>84</v>
      </c>
      <c r="C146" s="179"/>
      <c r="D146" s="180">
        <f>D145/C145-1</f>
        <v>-0.15962441314553988</v>
      </c>
      <c r="E146" s="180">
        <f t="shared" ref="E146:F146" si="18">E145/D145-1</f>
        <v>-2.5139664804469275E-2</v>
      </c>
      <c r="F146" s="180">
        <f t="shared" si="18"/>
        <v>5.7306590257879542E-3</v>
      </c>
    </row>
    <row r="147" spans="2:6" ht="15.75" thickBot="1" x14ac:dyDescent="0.3">
      <c r="B147" s="65" t="s">
        <v>26</v>
      </c>
      <c r="C147" s="164">
        <f>C37</f>
        <v>111800</v>
      </c>
      <c r="D147" s="164">
        <f t="shared" ref="D147:F147" si="19">D37</f>
        <v>111800</v>
      </c>
      <c r="E147" s="164">
        <f t="shared" si="19"/>
        <v>111800</v>
      </c>
      <c r="F147" s="164">
        <f t="shared" si="19"/>
        <v>111800</v>
      </c>
    </row>
    <row r="148" spans="2:6" ht="15.75" thickBot="1" x14ac:dyDescent="0.3">
      <c r="B148" s="181" t="s">
        <v>85</v>
      </c>
      <c r="C148" s="165"/>
      <c r="D148" s="182">
        <f>D147/C147-1</f>
        <v>0</v>
      </c>
      <c r="E148" s="182">
        <f t="shared" ref="E148:F148" si="20">E147/D147-1</f>
        <v>0</v>
      </c>
      <c r="F148" s="182">
        <f t="shared" si="20"/>
        <v>0</v>
      </c>
    </row>
    <row r="149" spans="2:6" ht="30.75" thickBot="1" x14ac:dyDescent="0.3">
      <c r="B149" s="65" t="s">
        <v>28</v>
      </c>
      <c r="C149" s="164">
        <f>C38</f>
        <v>22200</v>
      </c>
      <c r="D149" s="164">
        <f t="shared" ref="D149:F149" si="21">D38</f>
        <v>22200</v>
      </c>
      <c r="E149" s="164">
        <f t="shared" si="21"/>
        <v>22200</v>
      </c>
      <c r="F149" s="164">
        <f t="shared" si="21"/>
        <v>22200</v>
      </c>
    </row>
    <row r="150" spans="2:6" ht="30.75" thickBot="1" x14ac:dyDescent="0.3">
      <c r="B150" s="181" t="s">
        <v>86</v>
      </c>
      <c r="C150" s="165"/>
      <c r="D150" s="182">
        <f>D149/C149-1</f>
        <v>0</v>
      </c>
      <c r="E150" s="182">
        <f t="shared" ref="E150:F150" si="22">E149/D149-1</f>
        <v>0</v>
      </c>
      <c r="F150" s="182">
        <f t="shared" si="22"/>
        <v>0</v>
      </c>
    </row>
    <row r="151" spans="2:6" ht="15.75" thickBot="1" x14ac:dyDescent="0.3">
      <c r="B151" s="65" t="s">
        <v>30</v>
      </c>
      <c r="C151" s="164">
        <f>C39</f>
        <v>33800</v>
      </c>
      <c r="D151" s="164">
        <f t="shared" ref="D151:F151" si="23">D39</f>
        <v>39800</v>
      </c>
      <c r="E151" s="164">
        <f t="shared" si="23"/>
        <v>39800</v>
      </c>
      <c r="F151" s="164">
        <f t="shared" si="23"/>
        <v>40800</v>
      </c>
    </row>
    <row r="152" spans="2:6" ht="30.75" thickBot="1" x14ac:dyDescent="0.3">
      <c r="B152" s="181" t="s">
        <v>87</v>
      </c>
      <c r="C152" s="165"/>
      <c r="D152" s="182">
        <f>D151/C151-1</f>
        <v>0.1775147928994083</v>
      </c>
      <c r="E152" s="182">
        <f t="shared" ref="E152:F152" si="24">E151/D151-1</f>
        <v>0</v>
      </c>
      <c r="F152" s="182">
        <f t="shared" si="24"/>
        <v>2.5125628140703515E-2</v>
      </c>
    </row>
    <row r="153" spans="2:6" ht="15.75" thickBot="1" x14ac:dyDescent="0.3">
      <c r="B153" s="65" t="s">
        <v>32</v>
      </c>
      <c r="C153" s="164">
        <f>C40</f>
        <v>0</v>
      </c>
      <c r="D153" s="164">
        <f t="shared" ref="D153:F153" si="25">D40</f>
        <v>0</v>
      </c>
      <c r="E153" s="164">
        <f t="shared" si="25"/>
        <v>0</v>
      </c>
      <c r="F153" s="164">
        <f t="shared" si="25"/>
        <v>0</v>
      </c>
    </row>
    <row r="154" spans="2:6" ht="15.75" thickBot="1" x14ac:dyDescent="0.3">
      <c r="B154" s="181" t="s">
        <v>88</v>
      </c>
      <c r="C154" s="165"/>
      <c r="D154" s="182" t="e">
        <f>D153/C153-1</f>
        <v>#DIV/0!</v>
      </c>
      <c r="E154" s="182" t="e">
        <f t="shared" ref="E154:F154" si="26">E153/D153-1</f>
        <v>#DIV/0!</v>
      </c>
      <c r="F154" s="182" t="e">
        <f t="shared" si="26"/>
        <v>#DIV/0!</v>
      </c>
    </row>
    <row r="155" spans="2:6" ht="15.75" thickBot="1" x14ac:dyDescent="0.3">
      <c r="B155" s="65" t="s">
        <v>34</v>
      </c>
      <c r="C155" s="164">
        <f>C41</f>
        <v>0</v>
      </c>
      <c r="D155" s="164">
        <f t="shared" ref="D155:F155" si="27">D41</f>
        <v>0</v>
      </c>
      <c r="E155" s="164">
        <f t="shared" si="27"/>
        <v>0</v>
      </c>
      <c r="F155" s="164">
        <f t="shared" si="27"/>
        <v>0</v>
      </c>
    </row>
    <row r="156" spans="2:6" ht="30.75" thickBot="1" x14ac:dyDescent="0.3">
      <c r="B156" s="181" t="s">
        <v>89</v>
      </c>
      <c r="C156" s="165"/>
      <c r="D156" s="182" t="e">
        <f>D155/C155-1</f>
        <v>#DIV/0!</v>
      </c>
      <c r="E156" s="182" t="e">
        <f t="shared" ref="E156:F156" si="28">E155/D155-1</f>
        <v>#DIV/0!</v>
      </c>
      <c r="F156" s="182" t="e">
        <f t="shared" si="28"/>
        <v>#DIV/0!</v>
      </c>
    </row>
    <row r="157" spans="2:6" ht="15.75" thickBot="1" x14ac:dyDescent="0.3">
      <c r="B157" s="65" t="s">
        <v>36</v>
      </c>
      <c r="C157" s="164">
        <f>C42</f>
        <v>200</v>
      </c>
      <c r="D157" s="164">
        <f t="shared" ref="D157:F157" si="29">D42</f>
        <v>200</v>
      </c>
      <c r="E157" s="164">
        <f t="shared" si="29"/>
        <v>200</v>
      </c>
      <c r="F157" s="164">
        <f t="shared" si="29"/>
        <v>200</v>
      </c>
    </row>
    <row r="158" spans="2:6" ht="15.75" thickBot="1" x14ac:dyDescent="0.3">
      <c r="B158" s="181" t="s">
        <v>90</v>
      </c>
      <c r="C158" s="165"/>
      <c r="D158" s="182">
        <f>D157/C157-1</f>
        <v>0</v>
      </c>
      <c r="E158" s="182">
        <f t="shared" ref="E158:F158" si="30">E157/D157-1</f>
        <v>0</v>
      </c>
      <c r="F158" s="182">
        <f t="shared" si="30"/>
        <v>0</v>
      </c>
    </row>
    <row r="159" spans="2:6" ht="30.75" thickBot="1" x14ac:dyDescent="0.3">
      <c r="B159" s="65" t="s">
        <v>38</v>
      </c>
      <c r="C159" s="164">
        <f>C43</f>
        <v>0</v>
      </c>
      <c r="D159" s="164">
        <f t="shared" ref="D159:F159" si="31">D43</f>
        <v>0</v>
      </c>
      <c r="E159" s="164">
        <f t="shared" si="31"/>
        <v>0</v>
      </c>
      <c r="F159" s="164">
        <f t="shared" si="31"/>
        <v>0</v>
      </c>
    </row>
    <row r="160" spans="2:6" ht="30.75" thickBot="1" x14ac:dyDescent="0.3">
      <c r="B160" s="181" t="s">
        <v>91</v>
      </c>
      <c r="C160" s="165"/>
      <c r="D160" s="182" t="e">
        <f>D159/C159-1</f>
        <v>#DIV/0!</v>
      </c>
      <c r="E160" s="182" t="e">
        <f t="shared" ref="E160:F160" si="32">E159/D159-1</f>
        <v>#DIV/0!</v>
      </c>
      <c r="F160" s="182" t="e">
        <f t="shared" si="32"/>
        <v>#DIV/0!</v>
      </c>
    </row>
    <row r="161" spans="2:6" ht="15.75" thickBot="1" x14ac:dyDescent="0.3">
      <c r="B161" s="65" t="s">
        <v>92</v>
      </c>
      <c r="C161" s="164">
        <f>C140+C122+C104+C84+C63</f>
        <v>270</v>
      </c>
      <c r="D161" s="164">
        <f t="shared" ref="D161:F161" si="33">D140+D122+D104+D84+D63</f>
        <v>600</v>
      </c>
      <c r="E161" s="164">
        <f t="shared" si="33"/>
        <v>0</v>
      </c>
      <c r="F161" s="164">
        <f t="shared" si="33"/>
        <v>0</v>
      </c>
    </row>
    <row r="162" spans="2:6" ht="30.75" thickBot="1" x14ac:dyDescent="0.3">
      <c r="B162" s="181" t="s">
        <v>93</v>
      </c>
      <c r="C162" s="165"/>
      <c r="D162" s="182">
        <f>D161/C161-1</f>
        <v>1.2222222222222223</v>
      </c>
      <c r="E162" s="182">
        <f t="shared" ref="E162:F162" si="34">E161/D161-1</f>
        <v>-1</v>
      </c>
      <c r="F162" s="182" t="e">
        <f t="shared" si="34"/>
        <v>#DIV/0!</v>
      </c>
    </row>
    <row r="163" spans="2:6" ht="15.75" thickBot="1" x14ac:dyDescent="0.3">
      <c r="B163" s="65" t="s">
        <v>94</v>
      </c>
      <c r="C163" s="164">
        <f>C141+C123+C105+C85+C64</f>
        <v>44730</v>
      </c>
      <c r="D163" s="164">
        <f t="shared" ref="D163:F163" si="35">D141+D123+D105+D85+D64</f>
        <v>4400</v>
      </c>
      <c r="E163" s="164">
        <f t="shared" si="35"/>
        <v>500</v>
      </c>
      <c r="F163" s="164">
        <f t="shared" si="35"/>
        <v>500</v>
      </c>
    </row>
    <row r="164" spans="2:6" ht="15.75" thickBot="1" x14ac:dyDescent="0.3">
      <c r="B164" s="181" t="s">
        <v>95</v>
      </c>
      <c r="C164" s="165"/>
      <c r="D164" s="182">
        <f>D163/C163-1</f>
        <v>-0.90163201430807061</v>
      </c>
      <c r="E164" s="182">
        <f t="shared" ref="E164:F164" si="36">E163/D163-1</f>
        <v>-0.88636363636363635</v>
      </c>
      <c r="F164" s="182">
        <f t="shared" si="36"/>
        <v>0</v>
      </c>
    </row>
    <row r="165" spans="2:6" ht="15.75" thickBot="1" x14ac:dyDescent="0.3">
      <c r="B165" s="166" t="s">
        <v>41</v>
      </c>
      <c r="C165" s="167">
        <f>IF(C145-C144=0,0,"Error")</f>
        <v>0</v>
      </c>
      <c r="D165" s="167">
        <f t="shared" ref="D165:F165" si="37">IF(D145-D144=0,0,"Error")</f>
        <v>0</v>
      </c>
      <c r="E165" s="167">
        <f t="shared" si="37"/>
        <v>0</v>
      </c>
      <c r="F165" s="167">
        <f t="shared" si="37"/>
        <v>0</v>
      </c>
    </row>
    <row r="166" spans="2:6" ht="30.75" thickBot="1" x14ac:dyDescent="0.3">
      <c r="B166" s="183" t="s">
        <v>96</v>
      </c>
      <c r="C166" s="164" t="s">
        <v>23</v>
      </c>
      <c r="D166" s="164" t="s">
        <v>23</v>
      </c>
      <c r="E166" s="164" t="s">
        <v>23</v>
      </c>
      <c r="F166" s="164" t="s">
        <v>23</v>
      </c>
    </row>
    <row r="167" spans="2:6" ht="30.75" thickBot="1" x14ac:dyDescent="0.3">
      <c r="B167" s="183" t="s">
        <v>97</v>
      </c>
      <c r="C167" s="164" t="s">
        <v>23</v>
      </c>
      <c r="D167" s="164" t="s">
        <v>23</v>
      </c>
      <c r="E167" s="164" t="s">
        <v>23</v>
      </c>
      <c r="F167" s="164" t="s">
        <v>23</v>
      </c>
    </row>
    <row r="168" spans="2:6" x14ac:dyDescent="0.25">
      <c r="B168" s="184"/>
      <c r="C168" s="185"/>
      <c r="D168" s="185"/>
      <c r="E168" s="185"/>
      <c r="F168" s="185"/>
    </row>
  </sheetData>
  <mergeCells count="59">
    <mergeCell ref="B21:F21"/>
    <mergeCell ref="B2:F2"/>
    <mergeCell ref="C4:F4"/>
    <mergeCell ref="C5:F5"/>
    <mergeCell ref="C6:F6"/>
    <mergeCell ref="B7:F7"/>
    <mergeCell ref="B8:F10"/>
    <mergeCell ref="C11:F11"/>
    <mergeCell ref="B12:B13"/>
    <mergeCell ref="C17:F17"/>
    <mergeCell ref="B18:F18"/>
    <mergeCell ref="C50:F50"/>
    <mergeCell ref="B22:F22"/>
    <mergeCell ref="C23:F23"/>
    <mergeCell ref="C24:F24"/>
    <mergeCell ref="C25:F25"/>
    <mergeCell ref="B26:B27"/>
    <mergeCell ref="B34:F34"/>
    <mergeCell ref="B35:B36"/>
    <mergeCell ref="B46:F46"/>
    <mergeCell ref="B47:F47"/>
    <mergeCell ref="C48:F48"/>
    <mergeCell ref="C49:F49"/>
    <mergeCell ref="B81:F81"/>
    <mergeCell ref="C51:F51"/>
    <mergeCell ref="B52:B53"/>
    <mergeCell ref="B60:F60"/>
    <mergeCell ref="B61:B62"/>
    <mergeCell ref="B66:B68"/>
    <mergeCell ref="C66:F68"/>
    <mergeCell ref="C69:F69"/>
    <mergeCell ref="C70:F70"/>
    <mergeCell ref="C71:F71"/>
    <mergeCell ref="C72:F72"/>
    <mergeCell ref="B73:B74"/>
    <mergeCell ref="C108:F108"/>
    <mergeCell ref="B82:B83"/>
    <mergeCell ref="B87:F87"/>
    <mergeCell ref="B88:F88"/>
    <mergeCell ref="C89:F89"/>
    <mergeCell ref="C90:F90"/>
    <mergeCell ref="C91:F91"/>
    <mergeCell ref="C92:F92"/>
    <mergeCell ref="B93:B94"/>
    <mergeCell ref="B101:F101"/>
    <mergeCell ref="B102:B103"/>
    <mergeCell ref="C107:F107"/>
    <mergeCell ref="B138:B139"/>
    <mergeCell ref="C109:F109"/>
    <mergeCell ref="C110:F110"/>
    <mergeCell ref="B111:B112"/>
    <mergeCell ref="B119:F119"/>
    <mergeCell ref="B120:B121"/>
    <mergeCell ref="C125:F125"/>
    <mergeCell ref="C126:F126"/>
    <mergeCell ref="C127:F127"/>
    <mergeCell ref="C128:F128"/>
    <mergeCell ref="B129:B130"/>
    <mergeCell ref="B137:F137"/>
  </mergeCells>
  <printOptions horizontalCentered="1" verticalCentered="1"/>
  <pageMargins left="0.7" right="0.7" top="0.75" bottom="0.75" header="0.3" footer="0.3"/>
  <pageSetup scale="90" orientation="portrait" r:id="rId1"/>
  <rowBreaks count="2" manualBreakCount="2">
    <brk id="46" max="16383" man="1"/>
    <brk id="10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6"/>
  <sheetViews>
    <sheetView topLeftCell="A472" zoomScaleNormal="100" workbookViewId="0">
      <selection activeCell="D508" sqref="D508"/>
    </sheetView>
  </sheetViews>
  <sheetFormatPr defaultColWidth="27" defaultRowHeight="15" x14ac:dyDescent="0.25"/>
  <cols>
    <col min="1" max="1" width="10.28515625" style="152" customWidth="1"/>
    <col min="2" max="2" width="56.140625" style="152" customWidth="1"/>
    <col min="3" max="16384" width="27" style="152"/>
  </cols>
  <sheetData>
    <row r="2" spans="2:7" ht="18" customHeight="1" x14ac:dyDescent="0.25">
      <c r="B2" s="762" t="s">
        <v>0</v>
      </c>
      <c r="C2" s="762"/>
      <c r="D2" s="762"/>
      <c r="E2" s="762"/>
      <c r="F2" s="762"/>
      <c r="G2" s="1"/>
    </row>
    <row r="3" spans="2:7" ht="18" customHeight="1" x14ac:dyDescent="0.25">
      <c r="B3" s="1055" t="s">
        <v>1</v>
      </c>
      <c r="C3" s="1055"/>
      <c r="D3" s="1055"/>
      <c r="E3" s="1055"/>
      <c r="F3" s="1055"/>
      <c r="G3" s="147"/>
    </row>
    <row r="4" spans="2:7" ht="15.75" thickBot="1" x14ac:dyDescent="0.3"/>
    <row r="5" spans="2:7" ht="15.75" thickBot="1" x14ac:dyDescent="0.3">
      <c r="B5" s="153" t="s">
        <v>2</v>
      </c>
      <c r="C5" s="909" t="s">
        <v>1044</v>
      </c>
      <c r="D5" s="909"/>
      <c r="E5" s="909"/>
      <c r="F5" s="909"/>
    </row>
    <row r="6" spans="2:7" ht="15.75" thickBot="1" x14ac:dyDescent="0.3">
      <c r="B6" s="153" t="s">
        <v>3</v>
      </c>
      <c r="C6" s="1048" t="s">
        <v>728</v>
      </c>
      <c r="D6" s="981"/>
      <c r="E6" s="981"/>
      <c r="F6" s="982"/>
    </row>
    <row r="7" spans="2:7" ht="15.75" thickBot="1" x14ac:dyDescent="0.3">
      <c r="B7" s="153" t="s">
        <v>5</v>
      </c>
      <c r="C7" s="983" t="s">
        <v>6</v>
      </c>
      <c r="D7" s="984"/>
      <c r="E7" s="984"/>
      <c r="F7" s="985"/>
    </row>
    <row r="8" spans="2:7" ht="15.75" thickBot="1" x14ac:dyDescent="0.3">
      <c r="B8" s="986" t="s">
        <v>7</v>
      </c>
      <c r="C8" s="987"/>
      <c r="D8" s="987"/>
      <c r="E8" s="987"/>
      <c r="F8" s="988"/>
    </row>
    <row r="9" spans="2:7" ht="43.5" customHeight="1" x14ac:dyDescent="0.25">
      <c r="B9" s="1056" t="s">
        <v>833</v>
      </c>
      <c r="C9" s="1057"/>
      <c r="D9" s="1057"/>
      <c r="E9" s="1057"/>
      <c r="F9" s="1058"/>
    </row>
    <row r="10" spans="2:7" ht="43.5" customHeight="1" x14ac:dyDescent="0.25">
      <c r="B10" s="1059"/>
      <c r="C10" s="1060"/>
      <c r="D10" s="1060"/>
      <c r="E10" s="1060"/>
      <c r="F10" s="1061"/>
    </row>
    <row r="11" spans="2:7" ht="69" customHeight="1" thickBot="1" x14ac:dyDescent="0.3">
      <c r="B11" s="1062"/>
      <c r="C11" s="1063"/>
      <c r="D11" s="1063"/>
      <c r="E11" s="1063"/>
      <c r="F11" s="1064"/>
    </row>
    <row r="12" spans="2:7" ht="90.75" customHeight="1" thickBot="1" x14ac:dyDescent="0.3">
      <c r="B12" s="154" t="s">
        <v>8</v>
      </c>
      <c r="C12" s="1053" t="s">
        <v>834</v>
      </c>
      <c r="D12" s="1065"/>
      <c r="E12" s="1065"/>
      <c r="F12" s="1066"/>
    </row>
    <row r="13" spans="2:7" ht="23.25" customHeight="1" x14ac:dyDescent="0.25">
      <c r="B13" s="998" t="s">
        <v>102</v>
      </c>
      <c r="C13" s="155">
        <v>2018</v>
      </c>
      <c r="D13" s="155">
        <v>2019</v>
      </c>
      <c r="E13" s="155">
        <v>2020</v>
      </c>
      <c r="F13" s="155">
        <v>2021</v>
      </c>
    </row>
    <row r="14" spans="2:7" ht="15.75" thickBot="1" x14ac:dyDescent="0.3">
      <c r="B14" s="999"/>
      <c r="C14" s="156" t="s">
        <v>10</v>
      </c>
      <c r="D14" s="156" t="s">
        <v>11</v>
      </c>
      <c r="E14" s="156" t="s">
        <v>11</v>
      </c>
      <c r="F14" s="156" t="s">
        <v>11</v>
      </c>
    </row>
    <row r="15" spans="2:7" ht="15.75" thickBot="1" x14ac:dyDescent="0.3">
      <c r="B15" s="146" t="s">
        <v>211</v>
      </c>
      <c r="C15" s="157" t="s">
        <v>116</v>
      </c>
      <c r="D15" s="157" t="s">
        <v>117</v>
      </c>
      <c r="E15" s="157" t="s">
        <v>117</v>
      </c>
      <c r="F15" s="157" t="s">
        <v>117</v>
      </c>
    </row>
    <row r="16" spans="2:7" ht="15.75" thickBot="1" x14ac:dyDescent="0.3">
      <c r="B16" s="62" t="s">
        <v>212</v>
      </c>
      <c r="C16" s="157" t="s">
        <v>116</v>
      </c>
      <c r="D16" s="157" t="s">
        <v>117</v>
      </c>
      <c r="E16" s="157" t="s">
        <v>117</v>
      </c>
      <c r="F16" s="157" t="s">
        <v>117</v>
      </c>
    </row>
    <row r="17" spans="2:11" ht="15.75" thickBot="1" x14ac:dyDescent="0.3">
      <c r="B17" s="62" t="s">
        <v>115</v>
      </c>
      <c r="C17" s="157" t="s">
        <v>116</v>
      </c>
      <c r="D17" s="157" t="s">
        <v>117</v>
      </c>
      <c r="E17" s="157" t="s">
        <v>117</v>
      </c>
      <c r="F17" s="157" t="s">
        <v>117</v>
      </c>
    </row>
    <row r="18" spans="2:11" ht="48.75" customHeight="1" thickBot="1" x14ac:dyDescent="0.3">
      <c r="B18" s="158" t="s">
        <v>12</v>
      </c>
      <c r="C18" s="1007" t="s">
        <v>1045</v>
      </c>
      <c r="D18" s="1006"/>
      <c r="E18" s="1006"/>
      <c r="F18" s="1008"/>
    </row>
    <row r="19" spans="2:11" ht="23.25" customHeight="1" thickBot="1" x14ac:dyDescent="0.3">
      <c r="B19" s="983" t="s">
        <v>103</v>
      </c>
      <c r="C19" s="984"/>
      <c r="D19" s="984"/>
      <c r="E19" s="984"/>
      <c r="F19" s="985"/>
      <c r="I19" s="159"/>
      <c r="K19" s="159"/>
    </row>
    <row r="20" spans="2:11" ht="45.75" thickBot="1" x14ac:dyDescent="0.3">
      <c r="B20" s="146" t="str">
        <f>'[1]Formati 2 Politika Ekzistuese'!C20</f>
        <v>Projekte në kuadër të marreveshjeve te bashkepunimit me Akademite e Shkencave dhe Arteve ne Kroaci, Mal te Zi, Maqedoni dhe arbereshet e Italise</v>
      </c>
      <c r="C20" s="157" t="s">
        <v>116</v>
      </c>
      <c r="D20" s="157" t="s">
        <v>117</v>
      </c>
      <c r="E20" s="157" t="s">
        <v>117</v>
      </c>
      <c r="F20" s="157" t="s">
        <v>117</v>
      </c>
    </row>
    <row r="21" spans="2:11" ht="45.75" thickBot="1" x14ac:dyDescent="0.3">
      <c r="B21" s="146" t="str">
        <f>'[1]Formati 2 Politika Ekzistuese'!C21</f>
        <v>Projekte, ekspedita, Ligjerata te ndersjellta te akademikeve dhe botime ne fushat e strategjise rajonale per kerkim, zhvillim dhe inovacion</v>
      </c>
      <c r="C21" s="157" t="s">
        <v>116</v>
      </c>
      <c r="D21" s="157" t="s">
        <v>117</v>
      </c>
      <c r="E21" s="157" t="s">
        <v>117</v>
      </c>
      <c r="F21" s="157" t="s">
        <v>117</v>
      </c>
    </row>
    <row r="22" spans="2:11" ht="45.75" thickBot="1" x14ac:dyDescent="0.3">
      <c r="B22" s="146" t="str">
        <f>'[1]Formati 2 Politika Ekzistuese'!C22</f>
        <v>Rritja e bashkepunimit me Akademite perkatese dhe institucionet kerkimore dhe mesimore te ketyre vendeve ne kuader te bashkepunimit shkencor dhe artistik.</v>
      </c>
      <c r="C22" s="157" t="s">
        <v>116</v>
      </c>
      <c r="D22" s="157" t="s">
        <v>117</v>
      </c>
      <c r="E22" s="157" t="s">
        <v>117</v>
      </c>
      <c r="F22" s="157" t="s">
        <v>117</v>
      </c>
    </row>
    <row r="23" spans="2:11" ht="15.75" thickBot="1" x14ac:dyDescent="0.3">
      <c r="B23" s="989" t="s">
        <v>14</v>
      </c>
      <c r="C23" s="990"/>
      <c r="D23" s="990"/>
      <c r="E23" s="990"/>
      <c r="F23" s="991"/>
    </row>
    <row r="24" spans="2:11" ht="15.75" thickBot="1" x14ac:dyDescent="0.3">
      <c r="B24" s="989" t="s">
        <v>104</v>
      </c>
      <c r="C24" s="990"/>
      <c r="D24" s="990"/>
      <c r="E24" s="990"/>
      <c r="F24" s="991"/>
    </row>
    <row r="25" spans="2:11" ht="15.75" thickBot="1" x14ac:dyDescent="0.3">
      <c r="B25" s="160" t="s">
        <v>105</v>
      </c>
      <c r="C25" s="992" t="s">
        <v>729</v>
      </c>
      <c r="D25" s="993"/>
      <c r="E25" s="993"/>
      <c r="F25" s="994"/>
    </row>
    <row r="26" spans="2:11" ht="81" customHeight="1" thickBot="1" x14ac:dyDescent="0.3">
      <c r="B26" s="62" t="s">
        <v>17</v>
      </c>
      <c r="C26" s="1049" t="s">
        <v>730</v>
      </c>
      <c r="D26" s="1050"/>
      <c r="E26" s="1050"/>
      <c r="F26" s="1051"/>
    </row>
    <row r="27" spans="2:11" ht="15.75" thickBot="1" x14ac:dyDescent="0.3">
      <c r="B27" s="62" t="s">
        <v>18</v>
      </c>
      <c r="C27" s="995" t="s">
        <v>731</v>
      </c>
      <c r="D27" s="996"/>
      <c r="E27" s="996"/>
      <c r="F27" s="997"/>
    </row>
    <row r="28" spans="2:11" ht="12.75" customHeight="1" x14ac:dyDescent="0.25">
      <c r="B28" s="998"/>
      <c r="C28" s="63">
        <v>2018</v>
      </c>
      <c r="D28" s="63">
        <v>2019</v>
      </c>
      <c r="E28" s="63">
        <v>2020</v>
      </c>
      <c r="F28" s="63">
        <v>2021</v>
      </c>
    </row>
    <row r="29" spans="2:11" ht="27" customHeight="1" thickBot="1" x14ac:dyDescent="0.3">
      <c r="B29" s="999"/>
      <c r="C29" s="64" t="s">
        <v>10</v>
      </c>
      <c r="D29" s="64" t="s">
        <v>11</v>
      </c>
      <c r="E29" s="64" t="s">
        <v>11</v>
      </c>
      <c r="F29" s="64" t="s">
        <v>11</v>
      </c>
    </row>
    <row r="30" spans="2:11" ht="15.75" thickBot="1" x14ac:dyDescent="0.3">
      <c r="B30" s="62" t="s">
        <v>19</v>
      </c>
      <c r="C30" s="161">
        <v>20</v>
      </c>
      <c r="D30" s="161">
        <v>25</v>
      </c>
      <c r="E30" s="161">
        <v>25</v>
      </c>
      <c r="F30" s="161">
        <v>25</v>
      </c>
    </row>
    <row r="31" spans="2:11" ht="15.75" thickBot="1" x14ac:dyDescent="0.3">
      <c r="B31" s="62" t="s">
        <v>20</v>
      </c>
      <c r="C31" s="161">
        <v>11800</v>
      </c>
      <c r="D31" s="161">
        <v>12000</v>
      </c>
      <c r="E31" s="161">
        <v>12500</v>
      </c>
      <c r="F31" s="161">
        <v>12500</v>
      </c>
    </row>
    <row r="32" spans="2:11" ht="15.75" thickBot="1" x14ac:dyDescent="0.3">
      <c r="B32" s="62" t="s">
        <v>21</v>
      </c>
      <c r="C32" s="161">
        <f>C31/C30</f>
        <v>590</v>
      </c>
      <c r="D32" s="161">
        <f t="shared" ref="D32:F32" si="0">D31/D30</f>
        <v>480</v>
      </c>
      <c r="E32" s="161">
        <f t="shared" si="0"/>
        <v>500</v>
      </c>
      <c r="F32" s="161">
        <f t="shared" si="0"/>
        <v>500</v>
      </c>
    </row>
    <row r="33" spans="2:12" ht="15.75" thickBot="1" x14ac:dyDescent="0.3">
      <c r="B33" s="62" t="s">
        <v>22</v>
      </c>
      <c r="C33" s="145" t="s">
        <v>23</v>
      </c>
      <c r="D33" s="162">
        <f>D30/C30-1</f>
        <v>0.25</v>
      </c>
      <c r="E33" s="162">
        <f t="shared" ref="E33:F35" si="1">E30/D30-1</f>
        <v>0</v>
      </c>
      <c r="F33" s="162">
        <f t="shared" si="1"/>
        <v>0</v>
      </c>
      <c r="H33" s="163"/>
      <c r="I33" s="163"/>
      <c r="J33" s="163"/>
      <c r="K33" s="163"/>
      <c r="L33" s="163"/>
    </row>
    <row r="34" spans="2:12" ht="15.75" thickBot="1" x14ac:dyDescent="0.3">
      <c r="B34" s="62" t="s">
        <v>24</v>
      </c>
      <c r="C34" s="145" t="s">
        <v>23</v>
      </c>
      <c r="D34" s="162">
        <f>D31/C31-1</f>
        <v>1.6949152542372836E-2</v>
      </c>
      <c r="E34" s="162">
        <f t="shared" si="1"/>
        <v>4.1666666666666741E-2</v>
      </c>
      <c r="F34" s="162">
        <f t="shared" si="1"/>
        <v>0</v>
      </c>
    </row>
    <row r="35" spans="2:12" ht="15.75" thickBot="1" x14ac:dyDescent="0.3">
      <c r="B35" s="62" t="s">
        <v>25</v>
      </c>
      <c r="C35" s="145" t="s">
        <v>23</v>
      </c>
      <c r="D35" s="162">
        <f>D32/C32-1</f>
        <v>-0.18644067796610164</v>
      </c>
      <c r="E35" s="162">
        <f t="shared" si="1"/>
        <v>4.1666666666666741E-2</v>
      </c>
      <c r="F35" s="162">
        <f t="shared" si="1"/>
        <v>0</v>
      </c>
    </row>
    <row r="36" spans="2:12" ht="15.75" thickBot="1" x14ac:dyDescent="0.3">
      <c r="B36" s="1000" t="s">
        <v>784</v>
      </c>
      <c r="C36" s="1001"/>
      <c r="D36" s="1001"/>
      <c r="E36" s="1001"/>
      <c r="F36" s="1002"/>
    </row>
    <row r="37" spans="2:12" ht="12.75" customHeight="1" x14ac:dyDescent="0.25">
      <c r="B37" s="998"/>
      <c r="C37" s="63">
        <v>2018</v>
      </c>
      <c r="D37" s="63">
        <v>2019</v>
      </c>
      <c r="E37" s="63">
        <v>2020</v>
      </c>
      <c r="F37" s="63">
        <v>2021</v>
      </c>
    </row>
    <row r="38" spans="2:12" ht="29.25" customHeight="1" thickBot="1" x14ac:dyDescent="0.3">
      <c r="B38" s="999"/>
      <c r="C38" s="64" t="s">
        <v>10</v>
      </c>
      <c r="D38" s="64" t="s">
        <v>11</v>
      </c>
      <c r="E38" s="64" t="s">
        <v>11</v>
      </c>
      <c r="F38" s="64" t="s">
        <v>11</v>
      </c>
    </row>
    <row r="39" spans="2:12" ht="15.75" thickBot="1" x14ac:dyDescent="0.3">
      <c r="B39" s="65" t="s">
        <v>26</v>
      </c>
      <c r="C39" s="164">
        <v>3000</v>
      </c>
      <c r="D39" s="164">
        <v>3500</v>
      </c>
      <c r="E39" s="164">
        <v>3500</v>
      </c>
      <c r="F39" s="164">
        <v>3500</v>
      </c>
    </row>
    <row r="40" spans="2:12" ht="15.75" thickBot="1" x14ac:dyDescent="0.3">
      <c r="B40" s="65" t="s">
        <v>28</v>
      </c>
      <c r="C40" s="164">
        <v>500</v>
      </c>
      <c r="D40" s="164">
        <v>650</v>
      </c>
      <c r="E40" s="164">
        <v>650</v>
      </c>
      <c r="F40" s="164">
        <v>650</v>
      </c>
    </row>
    <row r="41" spans="2:12" ht="15.75" thickBot="1" x14ac:dyDescent="0.3">
      <c r="B41" s="65" t="s">
        <v>30</v>
      </c>
      <c r="C41" s="165">
        <v>4300</v>
      </c>
      <c r="D41" s="165">
        <v>4350</v>
      </c>
      <c r="E41" s="165">
        <v>4850</v>
      </c>
      <c r="F41" s="165">
        <v>4850</v>
      </c>
    </row>
    <row r="42" spans="2:12" ht="15.75" thickBot="1" x14ac:dyDescent="0.3">
      <c r="B42" s="65" t="s">
        <v>32</v>
      </c>
      <c r="C42" s="165">
        <v>0</v>
      </c>
      <c r="D42" s="165">
        <v>0</v>
      </c>
      <c r="E42" s="165">
        <v>0</v>
      </c>
      <c r="F42" s="165">
        <v>0</v>
      </c>
    </row>
    <row r="43" spans="2:12" ht="15.75" thickBot="1" x14ac:dyDescent="0.3">
      <c r="B43" s="65" t="s">
        <v>34</v>
      </c>
      <c r="C43" s="165">
        <v>400</v>
      </c>
      <c r="D43" s="165">
        <v>400</v>
      </c>
      <c r="E43" s="165">
        <v>400</v>
      </c>
      <c r="F43" s="165">
        <v>400</v>
      </c>
    </row>
    <row r="44" spans="2:12" ht="15.75" thickBot="1" x14ac:dyDescent="0.3">
      <c r="B44" s="65" t="s">
        <v>36</v>
      </c>
      <c r="C44" s="165">
        <v>0</v>
      </c>
      <c r="D44" s="165">
        <v>0</v>
      </c>
      <c r="E44" s="165">
        <v>0</v>
      </c>
      <c r="F44" s="165">
        <v>0</v>
      </c>
    </row>
    <row r="45" spans="2:12" ht="15.75" thickBot="1" x14ac:dyDescent="0.3">
      <c r="B45" s="65" t="s">
        <v>38</v>
      </c>
      <c r="C45" s="165">
        <v>3600</v>
      </c>
      <c r="D45" s="165">
        <v>3100</v>
      </c>
      <c r="E45" s="165">
        <v>3100</v>
      </c>
      <c r="F45" s="165">
        <v>3100</v>
      </c>
    </row>
    <row r="46" spans="2:12" ht="15.75" thickBot="1" x14ac:dyDescent="0.3">
      <c r="B46" s="66" t="s">
        <v>40</v>
      </c>
      <c r="C46" s="165">
        <f>C45+C44+C43+C42+C41+C40+C39</f>
        <v>11800</v>
      </c>
      <c r="D46" s="165">
        <f>D45+D44+D43+D42+D41+D40+D39</f>
        <v>12000</v>
      </c>
      <c r="E46" s="165">
        <f>E45+E44+E43+E42+E41+E40+E39</f>
        <v>12500</v>
      </c>
      <c r="F46" s="165">
        <f>F45+F44+F43+F42+F41+F40+F39</f>
        <v>12500</v>
      </c>
    </row>
    <row r="47" spans="2:12" ht="15.75" thickBot="1" x14ac:dyDescent="0.3">
      <c r="B47" s="166" t="s">
        <v>41</v>
      </c>
      <c r="C47" s="167">
        <f>IF(C46-C31=0,0,"Error")</f>
        <v>0</v>
      </c>
      <c r="D47" s="167">
        <f>IF(D46-D31=0,0,"Error")</f>
        <v>0</v>
      </c>
      <c r="E47" s="167">
        <f>IF(E46-E31=0,0,"Error")</f>
        <v>0</v>
      </c>
      <c r="F47" s="167">
        <f>IF(F46-F31=0,0,"Error")</f>
        <v>0</v>
      </c>
    </row>
    <row r="48" spans="2:12" ht="15.75" thickBot="1" x14ac:dyDescent="0.3">
      <c r="B48" s="381"/>
      <c r="C48" s="382"/>
      <c r="D48" s="382"/>
      <c r="E48" s="382"/>
      <c r="F48" s="383"/>
    </row>
    <row r="49" spans="2:6" ht="36.75" customHeight="1" thickBot="1" x14ac:dyDescent="0.3">
      <c r="B49" s="218" t="s">
        <v>42</v>
      </c>
      <c r="C49" s="1007" t="s">
        <v>732</v>
      </c>
      <c r="D49" s="1006"/>
      <c r="E49" s="1006"/>
      <c r="F49" s="1008"/>
    </row>
    <row r="50" spans="2:6" ht="91.5" customHeight="1" thickBot="1" x14ac:dyDescent="0.3">
      <c r="B50" s="62" t="s">
        <v>17</v>
      </c>
      <c r="C50" s="1049" t="s">
        <v>733</v>
      </c>
      <c r="D50" s="1050"/>
      <c r="E50" s="1050"/>
      <c r="F50" s="1051"/>
    </row>
    <row r="51" spans="2:6" ht="15.75" customHeight="1" thickBot="1" x14ac:dyDescent="0.3">
      <c r="B51" s="62" t="s">
        <v>18</v>
      </c>
      <c r="C51" s="1049" t="s">
        <v>734</v>
      </c>
      <c r="D51" s="1050"/>
      <c r="E51" s="1050"/>
      <c r="F51" s="1051"/>
    </row>
    <row r="52" spans="2:6" x14ac:dyDescent="0.25">
      <c r="B52" s="998"/>
      <c r="C52" s="63">
        <v>2018</v>
      </c>
      <c r="D52" s="63">
        <v>2019</v>
      </c>
      <c r="E52" s="63">
        <v>2020</v>
      </c>
      <c r="F52" s="63">
        <v>2021</v>
      </c>
    </row>
    <row r="53" spans="2:6" ht="12.75" customHeight="1" thickBot="1" x14ac:dyDescent="0.3">
      <c r="B53" s="999"/>
      <c r="C53" s="64" t="s">
        <v>10</v>
      </c>
      <c r="D53" s="64" t="s">
        <v>11</v>
      </c>
      <c r="E53" s="64" t="s">
        <v>11</v>
      </c>
      <c r="F53" s="64" t="s">
        <v>11</v>
      </c>
    </row>
    <row r="54" spans="2:6" ht="24" customHeight="1" thickBot="1" x14ac:dyDescent="0.3">
      <c r="B54" s="62" t="s">
        <v>19</v>
      </c>
      <c r="C54" s="161">
        <v>15</v>
      </c>
      <c r="D54" s="161">
        <v>15</v>
      </c>
      <c r="E54" s="161">
        <v>15</v>
      </c>
      <c r="F54" s="161">
        <v>15</v>
      </c>
    </row>
    <row r="55" spans="2:6" ht="15.75" thickBot="1" x14ac:dyDescent="0.3">
      <c r="B55" s="62" t="s">
        <v>20</v>
      </c>
      <c r="C55" s="161">
        <v>11700</v>
      </c>
      <c r="D55" s="161">
        <v>11500</v>
      </c>
      <c r="E55" s="161">
        <v>11500</v>
      </c>
      <c r="F55" s="161">
        <v>11500</v>
      </c>
    </row>
    <row r="56" spans="2:6" ht="15.75" thickBot="1" x14ac:dyDescent="0.3">
      <c r="B56" s="62" t="s">
        <v>21</v>
      </c>
      <c r="C56" s="161">
        <f>C55/C52</f>
        <v>5.7978196233894943</v>
      </c>
      <c r="D56" s="161">
        <f>D55/D52</f>
        <v>5.6958890539871225</v>
      </c>
      <c r="E56" s="161">
        <f>E55/E52</f>
        <v>5.6930693069306928</v>
      </c>
      <c r="F56" s="161">
        <f>F55/F52</f>
        <v>5.6902523503216234</v>
      </c>
    </row>
    <row r="57" spans="2:6" ht="15.75" thickBot="1" x14ac:dyDescent="0.3">
      <c r="B57" s="62" t="s">
        <v>22</v>
      </c>
      <c r="C57" s="145"/>
      <c r="D57" s="162">
        <f>D52/C52-1</f>
        <v>4.9554013875119374E-4</v>
      </c>
      <c r="E57" s="162">
        <f>E52/D52-1</f>
        <v>4.9529470034670453E-4</v>
      </c>
      <c r="F57" s="162">
        <f>F52/E52-1</f>
        <v>4.9504950495049549E-4</v>
      </c>
    </row>
    <row r="58" spans="2:6" ht="15.75" thickBot="1" x14ac:dyDescent="0.3">
      <c r="B58" s="62" t="s">
        <v>24</v>
      </c>
      <c r="C58" s="145"/>
      <c r="D58" s="162">
        <f>D55/C55-1</f>
        <v>-1.7094017094017144E-2</v>
      </c>
      <c r="E58" s="162">
        <f t="shared" ref="E58:F59" si="2">E55/D55-1</f>
        <v>0</v>
      </c>
      <c r="F58" s="162">
        <f t="shared" si="2"/>
        <v>0</v>
      </c>
    </row>
    <row r="59" spans="2:6" ht="15.75" thickBot="1" x14ac:dyDescent="0.3">
      <c r="B59" s="62" t="s">
        <v>25</v>
      </c>
      <c r="C59" s="145"/>
      <c r="D59" s="162">
        <f>D56/C56-1</f>
        <v>-1.7580845218289398E-2</v>
      </c>
      <c r="E59" s="162">
        <f t="shared" si="2"/>
        <v>-4.9504950495060651E-4</v>
      </c>
      <c r="F59" s="162">
        <f t="shared" si="2"/>
        <v>-4.9480455220174413E-4</v>
      </c>
    </row>
    <row r="60" spans="2:6" ht="24.75" customHeight="1" thickBot="1" x14ac:dyDescent="0.3">
      <c r="B60" s="1000" t="s">
        <v>796</v>
      </c>
      <c r="C60" s="1001"/>
      <c r="D60" s="1001"/>
      <c r="E60" s="1001"/>
      <c r="F60" s="1002"/>
    </row>
    <row r="61" spans="2:6" ht="12.75" customHeight="1" x14ac:dyDescent="0.25">
      <c r="B61" s="998"/>
      <c r="C61" s="63">
        <v>2018</v>
      </c>
      <c r="D61" s="63">
        <v>2019</v>
      </c>
      <c r="E61" s="63">
        <v>2020</v>
      </c>
      <c r="F61" s="63">
        <v>2021</v>
      </c>
    </row>
    <row r="62" spans="2:6" ht="27.75" customHeight="1" thickBot="1" x14ac:dyDescent="0.3">
      <c r="B62" s="999"/>
      <c r="C62" s="64" t="s">
        <v>10</v>
      </c>
      <c r="D62" s="64" t="s">
        <v>11</v>
      </c>
      <c r="E62" s="64" t="s">
        <v>11</v>
      </c>
      <c r="F62" s="64" t="s">
        <v>11</v>
      </c>
    </row>
    <row r="63" spans="2:6" ht="24.75" customHeight="1" thickBot="1" x14ac:dyDescent="0.3">
      <c r="B63" s="65" t="s">
        <v>26</v>
      </c>
      <c r="C63" s="164">
        <v>3000</v>
      </c>
      <c r="D63" s="164">
        <v>3400</v>
      </c>
      <c r="E63" s="164">
        <v>3400</v>
      </c>
      <c r="F63" s="164">
        <v>3400</v>
      </c>
    </row>
    <row r="64" spans="2:6" ht="24.75" customHeight="1" thickBot="1" x14ac:dyDescent="0.3">
      <c r="B64" s="65" t="s">
        <v>28</v>
      </c>
      <c r="C64" s="164">
        <v>500</v>
      </c>
      <c r="D64" s="164">
        <v>650</v>
      </c>
      <c r="E64" s="164">
        <v>650</v>
      </c>
      <c r="F64" s="164">
        <v>650</v>
      </c>
    </row>
    <row r="65" spans="2:6" ht="24.75" customHeight="1" thickBot="1" x14ac:dyDescent="0.3">
      <c r="B65" s="65" t="s">
        <v>30</v>
      </c>
      <c r="C65" s="165">
        <v>4600</v>
      </c>
      <c r="D65" s="165">
        <v>4350</v>
      </c>
      <c r="E65" s="165">
        <v>4350</v>
      </c>
      <c r="F65" s="165">
        <v>4350</v>
      </c>
    </row>
    <row r="66" spans="2:6" ht="15.75" thickBot="1" x14ac:dyDescent="0.3">
      <c r="B66" s="65" t="s">
        <v>32</v>
      </c>
      <c r="C66" s="165">
        <v>0</v>
      </c>
      <c r="D66" s="165">
        <v>0</v>
      </c>
      <c r="E66" s="165">
        <v>0</v>
      </c>
      <c r="F66" s="165">
        <v>0</v>
      </c>
    </row>
    <row r="67" spans="2:6" ht="15.75" thickBot="1" x14ac:dyDescent="0.3">
      <c r="B67" s="65" t="s">
        <v>34</v>
      </c>
      <c r="C67" s="165">
        <v>0</v>
      </c>
      <c r="D67" s="165">
        <v>0</v>
      </c>
      <c r="E67" s="165">
        <v>0</v>
      </c>
      <c r="F67" s="165">
        <v>0</v>
      </c>
    </row>
    <row r="68" spans="2:6" ht="15.75" thickBot="1" x14ac:dyDescent="0.3">
      <c r="B68" s="65" t="s">
        <v>36</v>
      </c>
      <c r="C68" s="165">
        <v>0</v>
      </c>
      <c r="D68" s="165">
        <v>0</v>
      </c>
      <c r="E68" s="165">
        <v>0</v>
      </c>
      <c r="F68" s="165">
        <v>0</v>
      </c>
    </row>
    <row r="69" spans="2:6" ht="15.75" thickBot="1" x14ac:dyDescent="0.3">
      <c r="B69" s="65" t="s">
        <v>38</v>
      </c>
      <c r="C69" s="165">
        <v>3600</v>
      </c>
      <c r="D69" s="165">
        <v>3100</v>
      </c>
      <c r="E69" s="165">
        <v>3100</v>
      </c>
      <c r="F69" s="165">
        <v>3100</v>
      </c>
    </row>
    <row r="70" spans="2:6" ht="15.75" thickBot="1" x14ac:dyDescent="0.3">
      <c r="B70" s="196" t="s">
        <v>74</v>
      </c>
      <c r="C70" s="165">
        <f>C69+C68+C67+C66+C65+C64+C63</f>
        <v>11700</v>
      </c>
      <c r="D70" s="165">
        <f>D69+D68+D67+D66+D65+D64+D63</f>
        <v>11500</v>
      </c>
      <c r="E70" s="165">
        <f>E69+E68+E67+E66+E65+E64+E63</f>
        <v>11500</v>
      </c>
      <c r="F70" s="165">
        <f>F69+F68+F67+F66+F65+F64+F63</f>
        <v>11500</v>
      </c>
    </row>
    <row r="71" spans="2:6" ht="17.25" customHeight="1" thickBot="1" x14ac:dyDescent="0.3">
      <c r="B71" s="166" t="s">
        <v>41</v>
      </c>
      <c r="C71" s="167">
        <f>IF(C70-C55=0,0,"Error")</f>
        <v>0</v>
      </c>
      <c r="D71" s="167">
        <f>IF(D70-D55=0,0,"Error")</f>
        <v>0</v>
      </c>
      <c r="E71" s="167">
        <f>IF(E70-E55=0,0,"Error")</f>
        <v>0</v>
      </c>
      <c r="F71" s="167">
        <f>IF(F70-F55=0,0,"Error")</f>
        <v>0</v>
      </c>
    </row>
    <row r="72" spans="2:6" ht="17.25" customHeight="1" thickBot="1" x14ac:dyDescent="0.3">
      <c r="B72" s="371"/>
      <c r="C72" s="372"/>
      <c r="D72" s="372"/>
      <c r="E72" s="372"/>
      <c r="F72" s="373"/>
    </row>
    <row r="73" spans="2:6" ht="15.75" thickBot="1" x14ac:dyDescent="0.3">
      <c r="B73" s="989" t="s">
        <v>63</v>
      </c>
      <c r="C73" s="990"/>
      <c r="D73" s="990"/>
      <c r="E73" s="990"/>
      <c r="F73" s="991"/>
    </row>
    <row r="74" spans="2:6" ht="15.75" thickBot="1" x14ac:dyDescent="0.3">
      <c r="B74" s="989" t="s">
        <v>56</v>
      </c>
      <c r="C74" s="990"/>
      <c r="D74" s="990"/>
      <c r="E74" s="990"/>
      <c r="F74" s="991"/>
    </row>
    <row r="75" spans="2:6" ht="15.75" thickBot="1" x14ac:dyDescent="0.3">
      <c r="B75" s="67" t="s">
        <v>735</v>
      </c>
      <c r="C75" s="1009" t="s">
        <v>736</v>
      </c>
      <c r="D75" s="1010"/>
      <c r="E75" s="1010"/>
      <c r="F75" s="1011"/>
    </row>
    <row r="76" spans="2:6" ht="15.75" thickBot="1" x14ac:dyDescent="0.3">
      <c r="B76" s="160" t="s">
        <v>16</v>
      </c>
      <c r="C76" s="992" t="s">
        <v>729</v>
      </c>
      <c r="D76" s="993"/>
      <c r="E76" s="993"/>
      <c r="F76" s="994"/>
    </row>
    <row r="77" spans="2:6" ht="91.5" customHeight="1" thickBot="1" x14ac:dyDescent="0.3">
      <c r="B77" s="62" t="s">
        <v>17</v>
      </c>
      <c r="C77" s="1049" t="s">
        <v>730</v>
      </c>
      <c r="D77" s="1050"/>
      <c r="E77" s="1050"/>
      <c r="F77" s="1051"/>
    </row>
    <row r="78" spans="2:6" ht="15.75" customHeight="1" thickBot="1" x14ac:dyDescent="0.3">
      <c r="B78" s="62" t="s">
        <v>18</v>
      </c>
      <c r="C78" s="995" t="s">
        <v>731</v>
      </c>
      <c r="D78" s="996"/>
      <c r="E78" s="996"/>
      <c r="F78" s="997"/>
    </row>
    <row r="79" spans="2:6" ht="12.75" customHeight="1" x14ac:dyDescent="0.25">
      <c r="B79" s="998"/>
      <c r="C79" s="63">
        <v>2018</v>
      </c>
      <c r="D79" s="63">
        <v>2019</v>
      </c>
      <c r="E79" s="63">
        <v>2020</v>
      </c>
      <c r="F79" s="63">
        <v>2021</v>
      </c>
    </row>
    <row r="80" spans="2:6" ht="28.5" customHeight="1" thickBot="1" x14ac:dyDescent="0.3">
      <c r="B80" s="999"/>
      <c r="C80" s="64" t="s">
        <v>10</v>
      </c>
      <c r="D80" s="64" t="s">
        <v>11</v>
      </c>
      <c r="E80" s="64" t="s">
        <v>11</v>
      </c>
      <c r="F80" s="64" t="s">
        <v>11</v>
      </c>
    </row>
    <row r="81" spans="2:12" ht="15.75" thickBot="1" x14ac:dyDescent="0.3">
      <c r="B81" s="62" t="s">
        <v>19</v>
      </c>
      <c r="C81" s="161">
        <v>20</v>
      </c>
      <c r="D81" s="161">
        <v>25</v>
      </c>
      <c r="E81" s="161">
        <v>25</v>
      </c>
      <c r="F81" s="161">
        <v>25</v>
      </c>
    </row>
    <row r="82" spans="2:12" ht="15.75" thickBot="1" x14ac:dyDescent="0.3">
      <c r="B82" s="62" t="s">
        <v>20</v>
      </c>
      <c r="C82" s="161">
        <v>200</v>
      </c>
      <c r="D82" s="161">
        <v>100</v>
      </c>
      <c r="E82" s="161">
        <v>200</v>
      </c>
      <c r="F82" s="161">
        <v>200</v>
      </c>
    </row>
    <row r="83" spans="2:12" ht="15.75" thickBot="1" x14ac:dyDescent="0.3">
      <c r="B83" s="62" t="s">
        <v>21</v>
      </c>
      <c r="C83" s="161">
        <f>C82/C81</f>
        <v>10</v>
      </c>
      <c r="D83" s="161">
        <f t="shared" ref="D83:F83" si="3">D82/D81</f>
        <v>4</v>
      </c>
      <c r="E83" s="161">
        <f t="shared" si="3"/>
        <v>8</v>
      </c>
      <c r="F83" s="161">
        <f t="shared" si="3"/>
        <v>8</v>
      </c>
    </row>
    <row r="84" spans="2:12" ht="15.75" thickBot="1" x14ac:dyDescent="0.3">
      <c r="B84" s="62" t="s">
        <v>22</v>
      </c>
      <c r="C84" s="145" t="s">
        <v>23</v>
      </c>
      <c r="D84" s="162">
        <f>D81/C81-1</f>
        <v>0.25</v>
      </c>
      <c r="E84" s="162">
        <f t="shared" ref="E84:F86" si="4">E81/D81-1</f>
        <v>0</v>
      </c>
      <c r="F84" s="162">
        <f t="shared" si="4"/>
        <v>0</v>
      </c>
      <c r="H84" s="163"/>
      <c r="I84" s="163"/>
      <c r="J84" s="163"/>
      <c r="K84" s="163"/>
      <c r="L84" s="163"/>
    </row>
    <row r="85" spans="2:12" ht="15.75" thickBot="1" x14ac:dyDescent="0.3">
      <c r="B85" s="62" t="s">
        <v>24</v>
      </c>
      <c r="C85" s="145" t="s">
        <v>23</v>
      </c>
      <c r="D85" s="162">
        <f>D82/C82-1</f>
        <v>-0.5</v>
      </c>
      <c r="E85" s="162">
        <f t="shared" si="4"/>
        <v>1</v>
      </c>
      <c r="F85" s="162">
        <f t="shared" si="4"/>
        <v>0</v>
      </c>
    </row>
    <row r="86" spans="2:12" ht="15.75" thickBot="1" x14ac:dyDescent="0.3">
      <c r="B86" s="62" t="s">
        <v>25</v>
      </c>
      <c r="C86" s="145" t="s">
        <v>23</v>
      </c>
      <c r="D86" s="162">
        <f>D83/C83-1</f>
        <v>-0.6</v>
      </c>
      <c r="E86" s="162">
        <f t="shared" si="4"/>
        <v>1</v>
      </c>
      <c r="F86" s="162">
        <f t="shared" si="4"/>
        <v>0</v>
      </c>
    </row>
    <row r="87" spans="2:12" ht="15.75" thickBot="1" x14ac:dyDescent="0.3">
      <c r="B87" s="1000" t="s">
        <v>784</v>
      </c>
      <c r="C87" s="1001"/>
      <c r="D87" s="1001"/>
      <c r="E87" s="1001"/>
      <c r="F87" s="1002"/>
    </row>
    <row r="88" spans="2:12" ht="12.75" customHeight="1" x14ac:dyDescent="0.25">
      <c r="B88" s="998"/>
      <c r="C88" s="63">
        <v>2018</v>
      </c>
      <c r="D88" s="63">
        <v>2019</v>
      </c>
      <c r="E88" s="63">
        <v>2020</v>
      </c>
      <c r="F88" s="63">
        <v>2021</v>
      </c>
    </row>
    <row r="89" spans="2:12" ht="9" customHeight="1" thickBot="1" x14ac:dyDescent="0.3">
      <c r="B89" s="999"/>
      <c r="C89" s="64" t="s">
        <v>10</v>
      </c>
      <c r="D89" s="64" t="s">
        <v>11</v>
      </c>
      <c r="E89" s="64" t="s">
        <v>11</v>
      </c>
      <c r="F89" s="64" t="s">
        <v>11</v>
      </c>
    </row>
    <row r="90" spans="2:12" ht="15.75" thickBot="1" x14ac:dyDescent="0.3">
      <c r="B90" s="65" t="s">
        <v>58</v>
      </c>
      <c r="C90" s="164">
        <v>0</v>
      </c>
      <c r="D90" s="164">
        <v>0</v>
      </c>
      <c r="E90" s="164">
        <v>0</v>
      </c>
      <c r="F90" s="164">
        <v>0</v>
      </c>
    </row>
    <row r="91" spans="2:12" ht="15.75" thickBot="1" x14ac:dyDescent="0.3">
      <c r="B91" s="65" t="s">
        <v>59</v>
      </c>
      <c r="C91" s="165">
        <v>200</v>
      </c>
      <c r="D91" s="161">
        <v>100</v>
      </c>
      <c r="E91" s="161">
        <v>200</v>
      </c>
      <c r="F91" s="161">
        <v>200</v>
      </c>
    </row>
    <row r="92" spans="2:12" ht="15.75" thickBot="1" x14ac:dyDescent="0.3">
      <c r="B92" s="66" t="s">
        <v>40</v>
      </c>
      <c r="C92" s="165">
        <f>C91+C90</f>
        <v>200</v>
      </c>
      <c r="D92" s="165">
        <f t="shared" ref="D92:F92" si="5">D91+D90</f>
        <v>100</v>
      </c>
      <c r="E92" s="165">
        <f t="shared" si="5"/>
        <v>200</v>
      </c>
      <c r="F92" s="165">
        <f t="shared" si="5"/>
        <v>200</v>
      </c>
    </row>
    <row r="93" spans="2:12" x14ac:dyDescent="0.25">
      <c r="B93" s="1015" t="s">
        <v>60</v>
      </c>
      <c r="C93" s="1036"/>
      <c r="D93" s="1037"/>
      <c r="E93" s="1037"/>
      <c r="F93" s="1038"/>
    </row>
    <row r="94" spans="2:12" x14ac:dyDescent="0.25">
      <c r="B94" s="1016"/>
      <c r="C94" s="1039"/>
      <c r="D94" s="1040"/>
      <c r="E94" s="1040"/>
      <c r="F94" s="1041"/>
    </row>
    <row r="95" spans="2:12" ht="15.75" thickBot="1" x14ac:dyDescent="0.3">
      <c r="B95" s="1017"/>
      <c r="C95" s="1042"/>
      <c r="D95" s="1043"/>
      <c r="E95" s="1043"/>
      <c r="F95" s="1044"/>
    </row>
    <row r="96" spans="2:12" ht="15.75" thickBot="1" x14ac:dyDescent="0.3">
      <c r="B96" s="374"/>
      <c r="C96" s="375"/>
      <c r="D96" s="376"/>
      <c r="E96" s="376"/>
      <c r="F96" s="377"/>
    </row>
    <row r="97" spans="2:12" ht="15.75" thickBot="1" x14ac:dyDescent="0.3">
      <c r="B97" s="67" t="s">
        <v>737</v>
      </c>
      <c r="C97" s="1009" t="s">
        <v>738</v>
      </c>
      <c r="D97" s="1010"/>
      <c r="E97" s="1010"/>
      <c r="F97" s="1011"/>
    </row>
    <row r="98" spans="2:12" ht="32.25" customHeight="1" thickBot="1" x14ac:dyDescent="0.3">
      <c r="B98" s="160" t="s">
        <v>42</v>
      </c>
      <c r="C98" s="1007" t="s">
        <v>732</v>
      </c>
      <c r="D98" s="1006"/>
      <c r="E98" s="1006"/>
      <c r="F98" s="1008"/>
    </row>
    <row r="99" spans="2:12" ht="83.25" customHeight="1" thickBot="1" x14ac:dyDescent="0.3">
      <c r="B99" s="62" t="s">
        <v>17</v>
      </c>
      <c r="C99" s="1049" t="s">
        <v>733</v>
      </c>
      <c r="D99" s="1050"/>
      <c r="E99" s="1050"/>
      <c r="F99" s="1051"/>
    </row>
    <row r="100" spans="2:12" ht="27.75" customHeight="1" thickBot="1" x14ac:dyDescent="0.3">
      <c r="B100" s="62" t="s">
        <v>18</v>
      </c>
      <c r="C100" s="1049" t="s">
        <v>734</v>
      </c>
      <c r="D100" s="1050"/>
      <c r="E100" s="1050"/>
      <c r="F100" s="1051"/>
    </row>
    <row r="101" spans="2:12" ht="12.75" customHeight="1" x14ac:dyDescent="0.25">
      <c r="B101" s="998"/>
      <c r="C101" s="63">
        <v>2018</v>
      </c>
      <c r="D101" s="63">
        <v>2019</v>
      </c>
      <c r="E101" s="63">
        <v>2020</v>
      </c>
      <c r="F101" s="63">
        <v>2021</v>
      </c>
    </row>
    <row r="102" spans="2:12" ht="22.5" customHeight="1" thickBot="1" x14ac:dyDescent="0.3">
      <c r="B102" s="999"/>
      <c r="C102" s="64" t="s">
        <v>10</v>
      </c>
      <c r="D102" s="64" t="s">
        <v>11</v>
      </c>
      <c r="E102" s="64" t="s">
        <v>11</v>
      </c>
      <c r="F102" s="64" t="s">
        <v>11</v>
      </c>
    </row>
    <row r="103" spans="2:12" ht="15.75" thickBot="1" x14ac:dyDescent="0.3">
      <c r="B103" s="62" t="s">
        <v>19</v>
      </c>
      <c r="C103" s="161">
        <v>15</v>
      </c>
      <c r="D103" s="161">
        <v>15</v>
      </c>
      <c r="E103" s="161">
        <v>15</v>
      </c>
      <c r="F103" s="161">
        <v>15</v>
      </c>
    </row>
    <row r="104" spans="2:12" ht="15.75" thickBot="1" x14ac:dyDescent="0.3">
      <c r="B104" s="62" t="s">
        <v>20</v>
      </c>
      <c r="C104" s="161">
        <v>200</v>
      </c>
      <c r="D104" s="161">
        <v>100</v>
      </c>
      <c r="E104" s="161">
        <v>200</v>
      </c>
      <c r="F104" s="161">
        <v>200</v>
      </c>
    </row>
    <row r="105" spans="2:12" ht="15.75" thickBot="1" x14ac:dyDescent="0.3">
      <c r="B105" s="62" t="s">
        <v>21</v>
      </c>
      <c r="C105" s="161">
        <f>C104/C103</f>
        <v>13.333333333333334</v>
      </c>
      <c r="D105" s="161">
        <f t="shared" ref="D105:F105" si="6">D104/D103</f>
        <v>6.666666666666667</v>
      </c>
      <c r="E105" s="161">
        <f t="shared" si="6"/>
        <v>13.333333333333334</v>
      </c>
      <c r="F105" s="161">
        <f t="shared" si="6"/>
        <v>13.333333333333334</v>
      </c>
    </row>
    <row r="106" spans="2:12" ht="15.75" thickBot="1" x14ac:dyDescent="0.3">
      <c r="B106" s="62" t="s">
        <v>22</v>
      </c>
      <c r="C106" s="145" t="s">
        <v>23</v>
      </c>
      <c r="D106" s="162">
        <f>D103/C103-1</f>
        <v>0</v>
      </c>
      <c r="E106" s="162">
        <f t="shared" ref="E106:F108" si="7">E103/D103-1</f>
        <v>0</v>
      </c>
      <c r="F106" s="162">
        <f t="shared" si="7"/>
        <v>0</v>
      </c>
      <c r="H106" s="163"/>
      <c r="I106" s="163"/>
      <c r="J106" s="163"/>
      <c r="K106" s="163"/>
      <c r="L106" s="163"/>
    </row>
    <row r="107" spans="2:12" ht="15.75" thickBot="1" x14ac:dyDescent="0.3">
      <c r="B107" s="62" t="s">
        <v>24</v>
      </c>
      <c r="C107" s="145" t="s">
        <v>23</v>
      </c>
      <c r="D107" s="162">
        <f>D104/C104-1</f>
        <v>-0.5</v>
      </c>
      <c r="E107" s="162">
        <f t="shared" si="7"/>
        <v>1</v>
      </c>
      <c r="F107" s="162">
        <f t="shared" si="7"/>
        <v>0</v>
      </c>
    </row>
    <row r="108" spans="2:12" ht="15.75" thickBot="1" x14ac:dyDescent="0.3">
      <c r="B108" s="62" t="s">
        <v>25</v>
      </c>
      <c r="C108" s="145" t="s">
        <v>23</v>
      </c>
      <c r="D108" s="162">
        <f>D105/C105-1</f>
        <v>-0.5</v>
      </c>
      <c r="E108" s="162">
        <f t="shared" si="7"/>
        <v>1</v>
      </c>
      <c r="F108" s="162">
        <f t="shared" si="7"/>
        <v>0</v>
      </c>
    </row>
    <row r="109" spans="2:12" ht="15.75" thickBot="1" x14ac:dyDescent="0.3">
      <c r="B109" s="1000" t="s">
        <v>786</v>
      </c>
      <c r="C109" s="1001"/>
      <c r="D109" s="1001"/>
      <c r="E109" s="1001"/>
      <c r="F109" s="1002"/>
    </row>
    <row r="110" spans="2:12" ht="12.75" customHeight="1" x14ac:dyDescent="0.25">
      <c r="B110" s="998"/>
      <c r="C110" s="63">
        <v>2018</v>
      </c>
      <c r="D110" s="63">
        <v>2019</v>
      </c>
      <c r="E110" s="63">
        <v>2020</v>
      </c>
      <c r="F110" s="63">
        <v>2021</v>
      </c>
    </row>
    <row r="111" spans="2:12" ht="21" customHeight="1" thickBot="1" x14ac:dyDescent="0.3">
      <c r="B111" s="999"/>
      <c r="C111" s="64" t="s">
        <v>10</v>
      </c>
      <c r="D111" s="64" t="s">
        <v>11</v>
      </c>
      <c r="E111" s="64" t="s">
        <v>11</v>
      </c>
      <c r="F111" s="64" t="s">
        <v>11</v>
      </c>
    </row>
    <row r="112" spans="2:12" ht="15.75" thickBot="1" x14ac:dyDescent="0.3">
      <c r="B112" s="65" t="s">
        <v>58</v>
      </c>
      <c r="C112" s="164">
        <v>0</v>
      </c>
      <c r="D112" s="164">
        <v>0</v>
      </c>
      <c r="E112" s="164">
        <v>0</v>
      </c>
      <c r="F112" s="164">
        <v>0</v>
      </c>
    </row>
    <row r="113" spans="2:6" ht="15.75" thickBot="1" x14ac:dyDescent="0.3">
      <c r="B113" s="65" t="s">
        <v>59</v>
      </c>
      <c r="C113" s="165">
        <v>200</v>
      </c>
      <c r="D113" s="161">
        <v>100</v>
      </c>
      <c r="E113" s="161">
        <v>200</v>
      </c>
      <c r="F113" s="161">
        <v>200</v>
      </c>
    </row>
    <row r="114" spans="2:6" ht="15.75" thickBot="1" x14ac:dyDescent="0.3">
      <c r="B114" s="66" t="s">
        <v>43</v>
      </c>
      <c r="C114" s="165">
        <f>C113+C112</f>
        <v>200</v>
      </c>
      <c r="D114" s="165">
        <f t="shared" ref="D114:F114" si="8">D113+D112</f>
        <v>100</v>
      </c>
      <c r="E114" s="165">
        <f t="shared" si="8"/>
        <v>200</v>
      </c>
      <c r="F114" s="165">
        <f t="shared" si="8"/>
        <v>200</v>
      </c>
    </row>
    <row r="115" spans="2:6" ht="15.75" thickBot="1" x14ac:dyDescent="0.3">
      <c r="B115" s="199"/>
      <c r="C115" s="379"/>
      <c r="D115" s="379"/>
      <c r="E115" s="379"/>
      <c r="F115" s="380"/>
    </row>
    <row r="116" spans="2:6" ht="26.25" customHeight="1" thickBot="1" x14ac:dyDescent="0.3">
      <c r="B116" s="154" t="s">
        <v>67</v>
      </c>
      <c r="C116" s="1052" t="s">
        <v>739</v>
      </c>
      <c r="D116" s="1053"/>
      <c r="E116" s="1053"/>
      <c r="F116" s="1054"/>
    </row>
    <row r="117" spans="2:6" ht="15.75" customHeight="1" thickBot="1" x14ac:dyDescent="0.3">
      <c r="B117" s="983" t="s">
        <v>68</v>
      </c>
      <c r="C117" s="984"/>
      <c r="D117" s="984"/>
      <c r="E117" s="984"/>
      <c r="F117" s="985"/>
    </row>
    <row r="118" spans="2:6" ht="15.75" thickBot="1" x14ac:dyDescent="0.3">
      <c r="B118" s="146" t="s">
        <v>740</v>
      </c>
      <c r="C118" s="157" t="s">
        <v>116</v>
      </c>
      <c r="D118" s="157" t="s">
        <v>117</v>
      </c>
      <c r="E118" s="157" t="s">
        <v>117</v>
      </c>
      <c r="F118" s="157" t="s">
        <v>117</v>
      </c>
    </row>
    <row r="119" spans="2:6" ht="105.75" thickBot="1" x14ac:dyDescent="0.3">
      <c r="B119" s="62" t="s">
        <v>741</v>
      </c>
      <c r="C119" s="157" t="s">
        <v>116</v>
      </c>
      <c r="D119" s="157" t="s">
        <v>117</v>
      </c>
      <c r="E119" s="157" t="s">
        <v>117</v>
      </c>
      <c r="F119" s="157" t="s">
        <v>117</v>
      </c>
    </row>
    <row r="120" spans="2:6" ht="60.75" thickBot="1" x14ac:dyDescent="0.3">
      <c r="B120" s="62" t="s">
        <v>742</v>
      </c>
      <c r="C120" s="157" t="s">
        <v>116</v>
      </c>
      <c r="D120" s="157" t="s">
        <v>117</v>
      </c>
      <c r="E120" s="157" t="s">
        <v>117</v>
      </c>
      <c r="F120" s="157" t="s">
        <v>117</v>
      </c>
    </row>
    <row r="121" spans="2:6" ht="23.25" customHeight="1" thickBot="1" x14ac:dyDescent="0.3">
      <c r="B121" s="1027" t="s">
        <v>69</v>
      </c>
      <c r="C121" s="1028"/>
      <c r="D121" s="1028"/>
      <c r="E121" s="1028"/>
      <c r="F121" s="1029"/>
    </row>
    <row r="122" spans="2:6" ht="23.25" customHeight="1" thickBot="1" x14ac:dyDescent="0.3">
      <c r="B122" s="1030" t="s">
        <v>70</v>
      </c>
      <c r="C122" s="1031"/>
      <c r="D122" s="1031"/>
      <c r="E122" s="1031"/>
      <c r="F122" s="1032"/>
    </row>
    <row r="123" spans="2:6" ht="12.75" customHeight="1" x14ac:dyDescent="0.25">
      <c r="B123" s="998"/>
      <c r="C123" s="63">
        <v>2018</v>
      </c>
      <c r="D123" s="63">
        <v>2019</v>
      </c>
      <c r="E123" s="63">
        <v>2020</v>
      </c>
      <c r="F123" s="63">
        <v>2021</v>
      </c>
    </row>
    <row r="124" spans="2:6" ht="36" customHeight="1" thickBot="1" x14ac:dyDescent="0.3">
      <c r="B124" s="999"/>
      <c r="C124" s="64" t="s">
        <v>10</v>
      </c>
      <c r="D124" s="64" t="s">
        <v>11</v>
      </c>
      <c r="E124" s="64" t="s">
        <v>11</v>
      </c>
      <c r="F124" s="64" t="s">
        <v>11</v>
      </c>
    </row>
    <row r="125" spans="2:6" ht="26.25" customHeight="1" thickBot="1" x14ac:dyDescent="0.3">
      <c r="B125" s="160" t="s">
        <v>16</v>
      </c>
      <c r="C125" s="992" t="s">
        <v>743</v>
      </c>
      <c r="D125" s="993"/>
      <c r="E125" s="993"/>
      <c r="F125" s="994"/>
    </row>
    <row r="126" spans="2:6" ht="46.5" customHeight="1" thickBot="1" x14ac:dyDescent="0.3">
      <c r="B126" s="62" t="s">
        <v>17</v>
      </c>
      <c r="C126" s="1049" t="s">
        <v>744</v>
      </c>
      <c r="D126" s="1050"/>
      <c r="E126" s="1050"/>
      <c r="F126" s="1051"/>
    </row>
    <row r="127" spans="2:6" ht="15.75" customHeight="1" thickBot="1" x14ac:dyDescent="0.3">
      <c r="B127" s="62" t="s">
        <v>18</v>
      </c>
      <c r="C127" s="995" t="s">
        <v>745</v>
      </c>
      <c r="D127" s="996"/>
      <c r="E127" s="996"/>
      <c r="F127" s="997"/>
    </row>
    <row r="128" spans="2:6" ht="12.75" customHeight="1" x14ac:dyDescent="0.25">
      <c r="B128" s="998"/>
      <c r="C128" s="63">
        <v>2018</v>
      </c>
      <c r="D128" s="63">
        <v>2019</v>
      </c>
      <c r="E128" s="63">
        <v>2020</v>
      </c>
      <c r="F128" s="63">
        <v>2021</v>
      </c>
    </row>
    <row r="129" spans="2:6" ht="15.75" thickBot="1" x14ac:dyDescent="0.3">
      <c r="B129" s="999"/>
      <c r="C129" s="64" t="s">
        <v>10</v>
      </c>
      <c r="D129" s="64" t="s">
        <v>11</v>
      </c>
      <c r="E129" s="64" t="s">
        <v>11</v>
      </c>
      <c r="F129" s="64" t="s">
        <v>11</v>
      </c>
    </row>
    <row r="130" spans="2:6" ht="15.75" customHeight="1" thickBot="1" x14ac:dyDescent="0.3">
      <c r="B130" s="62" t="s">
        <v>19</v>
      </c>
      <c r="C130" s="161">
        <v>10</v>
      </c>
      <c r="D130" s="203">
        <v>10</v>
      </c>
      <c r="E130" s="203">
        <v>10</v>
      </c>
      <c r="F130" s="203">
        <v>10</v>
      </c>
    </row>
    <row r="131" spans="2:6" ht="15.75" thickBot="1" x14ac:dyDescent="0.3">
      <c r="B131" s="62" t="s">
        <v>20</v>
      </c>
      <c r="C131" s="161">
        <v>11800</v>
      </c>
      <c r="D131" s="161">
        <v>11500</v>
      </c>
      <c r="E131" s="161">
        <v>11500</v>
      </c>
      <c r="F131" s="161">
        <v>11500</v>
      </c>
    </row>
    <row r="132" spans="2:6" ht="15.75" thickBot="1" x14ac:dyDescent="0.3">
      <c r="B132" s="62" t="s">
        <v>21</v>
      </c>
      <c r="C132" s="161">
        <f>C131/C130</f>
        <v>1180</v>
      </c>
      <c r="D132" s="161">
        <f t="shared" ref="D132:F132" si="9">D131/D130</f>
        <v>1150</v>
      </c>
      <c r="E132" s="161">
        <f t="shared" si="9"/>
        <v>1150</v>
      </c>
      <c r="F132" s="161">
        <f t="shared" si="9"/>
        <v>1150</v>
      </c>
    </row>
    <row r="133" spans="2:6" ht="15.75" thickBot="1" x14ac:dyDescent="0.3">
      <c r="B133" s="62" t="s">
        <v>22</v>
      </c>
      <c r="C133" s="145"/>
      <c r="D133" s="162">
        <f>D130/C130-1</f>
        <v>0</v>
      </c>
      <c r="E133" s="162">
        <f t="shared" ref="E133:F135" si="10">E130/D130-1</f>
        <v>0</v>
      </c>
      <c r="F133" s="162">
        <f t="shared" si="10"/>
        <v>0</v>
      </c>
    </row>
    <row r="134" spans="2:6" ht="15.75" thickBot="1" x14ac:dyDescent="0.3">
      <c r="B134" s="62" t="s">
        <v>24</v>
      </c>
      <c r="C134" s="145"/>
      <c r="D134" s="162">
        <f>D131/C131-1</f>
        <v>-2.5423728813559365E-2</v>
      </c>
      <c r="E134" s="162">
        <f t="shared" si="10"/>
        <v>0</v>
      </c>
      <c r="F134" s="162">
        <f t="shared" si="10"/>
        <v>0</v>
      </c>
    </row>
    <row r="135" spans="2:6" ht="15.75" thickBot="1" x14ac:dyDescent="0.3">
      <c r="B135" s="62" t="s">
        <v>25</v>
      </c>
      <c r="C135" s="145"/>
      <c r="D135" s="162">
        <f>D132/C132-1</f>
        <v>-2.5423728813559365E-2</v>
      </c>
      <c r="E135" s="162">
        <f t="shared" si="10"/>
        <v>0</v>
      </c>
      <c r="F135" s="162">
        <f t="shared" si="10"/>
        <v>0</v>
      </c>
    </row>
    <row r="136" spans="2:6" ht="12.75" customHeight="1" x14ac:dyDescent="0.25">
      <c r="B136" s="998"/>
      <c r="C136" s="63">
        <v>2018</v>
      </c>
      <c r="D136" s="63">
        <v>2019</v>
      </c>
      <c r="E136" s="63">
        <v>2020</v>
      </c>
      <c r="F136" s="63">
        <v>2021</v>
      </c>
    </row>
    <row r="137" spans="2:6" ht="22.5" customHeight="1" thickBot="1" x14ac:dyDescent="0.3">
      <c r="B137" s="999"/>
      <c r="C137" s="64" t="s">
        <v>10</v>
      </c>
      <c r="D137" s="64" t="s">
        <v>11</v>
      </c>
      <c r="E137" s="64" t="s">
        <v>11</v>
      </c>
      <c r="F137" s="64" t="s">
        <v>11</v>
      </c>
    </row>
    <row r="138" spans="2:6" ht="15.75" thickBot="1" x14ac:dyDescent="0.3">
      <c r="B138" s="1000" t="s">
        <v>794</v>
      </c>
      <c r="C138" s="1001"/>
      <c r="D138" s="1001"/>
      <c r="E138" s="1001"/>
      <c r="F138" s="1002"/>
    </row>
    <row r="139" spans="2:6" ht="12.75" customHeight="1" x14ac:dyDescent="0.25">
      <c r="B139" s="998"/>
      <c r="C139" s="63">
        <v>2018</v>
      </c>
      <c r="D139" s="63">
        <v>2019</v>
      </c>
      <c r="E139" s="63">
        <v>2020</v>
      </c>
      <c r="F139" s="63">
        <v>2021</v>
      </c>
    </row>
    <row r="140" spans="2:6" ht="22.5" customHeight="1" thickBot="1" x14ac:dyDescent="0.3">
      <c r="B140" s="999"/>
      <c r="C140" s="64" t="s">
        <v>10</v>
      </c>
      <c r="D140" s="64" t="s">
        <v>11</v>
      </c>
      <c r="E140" s="64" t="s">
        <v>11</v>
      </c>
      <c r="F140" s="64" t="s">
        <v>11</v>
      </c>
    </row>
    <row r="141" spans="2:6" ht="15.75" thickBot="1" x14ac:dyDescent="0.3">
      <c r="B141" s="65" t="s">
        <v>26</v>
      </c>
      <c r="C141" s="164">
        <v>3000</v>
      </c>
      <c r="D141" s="164">
        <v>3200</v>
      </c>
      <c r="E141" s="164">
        <v>3000</v>
      </c>
      <c r="F141" s="164">
        <v>3000</v>
      </c>
    </row>
    <row r="142" spans="2:6" ht="15.75" thickBot="1" x14ac:dyDescent="0.3">
      <c r="B142" s="65" t="s">
        <v>28</v>
      </c>
      <c r="C142" s="164">
        <v>500</v>
      </c>
      <c r="D142" s="164">
        <v>600</v>
      </c>
      <c r="E142" s="164">
        <v>500</v>
      </c>
      <c r="F142" s="164">
        <v>500</v>
      </c>
    </row>
    <row r="143" spans="2:6" ht="15.75" thickBot="1" x14ac:dyDescent="0.3">
      <c r="B143" s="65" t="s">
        <v>30</v>
      </c>
      <c r="C143" s="165">
        <v>3300</v>
      </c>
      <c r="D143" s="165">
        <v>3200</v>
      </c>
      <c r="E143" s="165">
        <v>3500</v>
      </c>
      <c r="F143" s="165">
        <v>3500</v>
      </c>
    </row>
    <row r="144" spans="2:6" ht="15.75" thickBot="1" x14ac:dyDescent="0.3">
      <c r="B144" s="65" t="s">
        <v>32</v>
      </c>
      <c r="C144" s="165">
        <v>0</v>
      </c>
      <c r="D144" s="165">
        <v>0</v>
      </c>
      <c r="E144" s="165">
        <v>0</v>
      </c>
      <c r="F144" s="165">
        <v>0</v>
      </c>
    </row>
    <row r="145" spans="2:6" ht="15.75" thickBot="1" x14ac:dyDescent="0.3">
      <c r="B145" s="65" t="s">
        <v>34</v>
      </c>
      <c r="C145" s="165">
        <v>0</v>
      </c>
      <c r="D145" s="165">
        <v>0</v>
      </c>
      <c r="E145" s="165">
        <v>0</v>
      </c>
      <c r="F145" s="165">
        <v>0</v>
      </c>
    </row>
    <row r="146" spans="2:6" ht="15.75" thickBot="1" x14ac:dyDescent="0.3">
      <c r="B146" s="65" t="s">
        <v>36</v>
      </c>
      <c r="C146" s="165">
        <v>400</v>
      </c>
      <c r="D146" s="165">
        <v>400</v>
      </c>
      <c r="E146" s="165">
        <v>400</v>
      </c>
      <c r="F146" s="165">
        <v>400</v>
      </c>
    </row>
    <row r="147" spans="2:6" ht="15.75" thickBot="1" x14ac:dyDescent="0.3">
      <c r="B147" s="65" t="s">
        <v>38</v>
      </c>
      <c r="C147" s="165">
        <v>4600</v>
      </c>
      <c r="D147" s="165">
        <v>4100</v>
      </c>
      <c r="E147" s="165">
        <v>4100</v>
      </c>
      <c r="F147" s="165">
        <v>4100</v>
      </c>
    </row>
    <row r="148" spans="2:6" ht="15.75" thickBot="1" x14ac:dyDescent="0.3">
      <c r="B148" s="204" t="s">
        <v>71</v>
      </c>
      <c r="C148" s="205">
        <f>C147+C146+C145+C144+C143+C142+C141</f>
        <v>11800</v>
      </c>
      <c r="D148" s="205">
        <f>D147+D146+D145+D144+D143+D142+D141</f>
        <v>11500</v>
      </c>
      <c r="E148" s="205">
        <f>E147+E146+E145+E144+E143+E142+E141</f>
        <v>11500</v>
      </c>
      <c r="F148" s="205">
        <f>F147+F146+F145+F144+F143+F142+F141</f>
        <v>11500</v>
      </c>
    </row>
    <row r="149" spans="2:6" ht="15.75" thickBot="1" x14ac:dyDescent="0.3">
      <c r="B149" s="166" t="s">
        <v>41</v>
      </c>
      <c r="C149" s="167">
        <f>IF(C148-C131=0,0,"Error")</f>
        <v>0</v>
      </c>
      <c r="D149" s="167">
        <f>IF(D148-D131=0,0,"Error")</f>
        <v>0</v>
      </c>
      <c r="E149" s="167">
        <f>IF(E148-E131=0,0,"Error")</f>
        <v>0</v>
      </c>
      <c r="F149" s="167">
        <f>IF(F148-F131=0,0,"Error")</f>
        <v>0</v>
      </c>
    </row>
    <row r="150" spans="2:6" ht="15.75" thickBot="1" x14ac:dyDescent="0.3">
      <c r="B150" s="378"/>
      <c r="C150" s="373"/>
      <c r="D150" s="373"/>
      <c r="E150" s="373"/>
      <c r="F150" s="373"/>
    </row>
    <row r="151" spans="2:6" ht="15.75" thickBot="1" x14ac:dyDescent="0.3">
      <c r="B151" s="989" t="s">
        <v>63</v>
      </c>
      <c r="C151" s="990"/>
      <c r="D151" s="990"/>
      <c r="E151" s="990"/>
      <c r="F151" s="991"/>
    </row>
    <row r="152" spans="2:6" ht="15.75" thickBot="1" x14ac:dyDescent="0.3">
      <c r="B152" s="989" t="s">
        <v>56</v>
      </c>
      <c r="C152" s="990"/>
      <c r="D152" s="990"/>
      <c r="E152" s="990"/>
      <c r="F152" s="991"/>
    </row>
    <row r="153" spans="2:6" ht="15.75" thickBot="1" x14ac:dyDescent="0.3">
      <c r="B153" s="67" t="s">
        <v>746</v>
      </c>
      <c r="C153" s="1009" t="s">
        <v>747</v>
      </c>
      <c r="D153" s="1010"/>
      <c r="E153" s="1010"/>
      <c r="F153" s="1011"/>
    </row>
    <row r="154" spans="2:6" ht="18.75" customHeight="1" thickBot="1" x14ac:dyDescent="0.3">
      <c r="B154" s="160" t="s">
        <v>16</v>
      </c>
      <c r="C154" s="992" t="s">
        <v>743</v>
      </c>
      <c r="D154" s="993"/>
      <c r="E154" s="993"/>
      <c r="F154" s="994"/>
    </row>
    <row r="155" spans="2:6" ht="48" customHeight="1" thickBot="1" x14ac:dyDescent="0.3">
      <c r="B155" s="62" t="s">
        <v>17</v>
      </c>
      <c r="C155" s="1049" t="s">
        <v>744</v>
      </c>
      <c r="D155" s="1050"/>
      <c r="E155" s="1050"/>
      <c r="F155" s="1051"/>
    </row>
    <row r="156" spans="2:6" ht="15.75" thickBot="1" x14ac:dyDescent="0.3">
      <c r="B156" s="62" t="s">
        <v>18</v>
      </c>
      <c r="C156" s="995" t="s">
        <v>745</v>
      </c>
      <c r="D156" s="996"/>
      <c r="E156" s="996"/>
      <c r="F156" s="997"/>
    </row>
    <row r="157" spans="2:6" ht="12.75" customHeight="1" x14ac:dyDescent="0.25">
      <c r="B157" s="998"/>
      <c r="C157" s="63">
        <v>2018</v>
      </c>
      <c r="D157" s="63">
        <v>2019</v>
      </c>
      <c r="E157" s="63">
        <v>2020</v>
      </c>
      <c r="F157" s="63">
        <v>2021</v>
      </c>
    </row>
    <row r="158" spans="2:6" ht="21" customHeight="1" thickBot="1" x14ac:dyDescent="0.3">
      <c r="B158" s="999"/>
      <c r="C158" s="64" t="s">
        <v>10</v>
      </c>
      <c r="D158" s="64" t="s">
        <v>11</v>
      </c>
      <c r="E158" s="64" t="s">
        <v>11</v>
      </c>
      <c r="F158" s="64" t="s">
        <v>11</v>
      </c>
    </row>
    <row r="159" spans="2:6" ht="15.75" thickBot="1" x14ac:dyDescent="0.3">
      <c r="B159" s="62" t="s">
        <v>19</v>
      </c>
      <c r="C159" s="161">
        <v>10</v>
      </c>
      <c r="D159" s="203">
        <v>10</v>
      </c>
      <c r="E159" s="203">
        <v>10</v>
      </c>
      <c r="F159" s="203">
        <v>10</v>
      </c>
    </row>
    <row r="160" spans="2:6" ht="15.75" thickBot="1" x14ac:dyDescent="0.3">
      <c r="B160" s="62" t="s">
        <v>20</v>
      </c>
      <c r="C160" s="161">
        <v>200</v>
      </c>
      <c r="D160" s="161">
        <v>200</v>
      </c>
      <c r="E160" s="161">
        <v>300</v>
      </c>
      <c r="F160" s="161">
        <v>300</v>
      </c>
    </row>
    <row r="161" spans="2:12" ht="15.75" thickBot="1" x14ac:dyDescent="0.3">
      <c r="B161" s="62" t="s">
        <v>21</v>
      </c>
      <c r="C161" s="161">
        <f>C160/C159</f>
        <v>20</v>
      </c>
      <c r="D161" s="161">
        <f t="shared" ref="D161:F161" si="11">D160/D159</f>
        <v>20</v>
      </c>
      <c r="E161" s="161">
        <f t="shared" si="11"/>
        <v>30</v>
      </c>
      <c r="F161" s="161">
        <f t="shared" si="11"/>
        <v>30</v>
      </c>
    </row>
    <row r="162" spans="2:12" ht="15.75" thickBot="1" x14ac:dyDescent="0.3">
      <c r="B162" s="62" t="s">
        <v>22</v>
      </c>
      <c r="C162" s="145" t="s">
        <v>23</v>
      </c>
      <c r="D162" s="162">
        <f>D159/C159-1</f>
        <v>0</v>
      </c>
      <c r="E162" s="162">
        <f t="shared" ref="E162:F164" si="12">E159/D159-1</f>
        <v>0</v>
      </c>
      <c r="F162" s="162">
        <f t="shared" si="12"/>
        <v>0</v>
      </c>
      <c r="H162" s="163"/>
      <c r="I162" s="163"/>
      <c r="J162" s="163"/>
      <c r="K162" s="163"/>
      <c r="L162" s="163"/>
    </row>
    <row r="163" spans="2:12" ht="15.75" thickBot="1" x14ac:dyDescent="0.3">
      <c r="B163" s="62" t="s">
        <v>24</v>
      </c>
      <c r="C163" s="145" t="s">
        <v>23</v>
      </c>
      <c r="D163" s="162">
        <f>D160/C160-1</f>
        <v>0</v>
      </c>
      <c r="E163" s="162">
        <f t="shared" si="12"/>
        <v>0.5</v>
      </c>
      <c r="F163" s="162">
        <f t="shared" si="12"/>
        <v>0</v>
      </c>
    </row>
    <row r="164" spans="2:12" ht="15.75" thickBot="1" x14ac:dyDescent="0.3">
      <c r="B164" s="62" t="s">
        <v>25</v>
      </c>
      <c r="C164" s="145" t="s">
        <v>23</v>
      </c>
      <c r="D164" s="162">
        <f>D161/C161-1</f>
        <v>0</v>
      </c>
      <c r="E164" s="162">
        <f t="shared" si="12"/>
        <v>0.5</v>
      </c>
      <c r="F164" s="162">
        <f t="shared" si="12"/>
        <v>0</v>
      </c>
    </row>
    <row r="165" spans="2:12" ht="15.75" thickBot="1" x14ac:dyDescent="0.3">
      <c r="B165" s="1000" t="s">
        <v>784</v>
      </c>
      <c r="C165" s="1001"/>
      <c r="D165" s="1001"/>
      <c r="E165" s="1001"/>
      <c r="F165" s="1002"/>
    </row>
    <row r="166" spans="2:12" ht="12.75" customHeight="1" x14ac:dyDescent="0.25">
      <c r="B166" s="998"/>
      <c r="C166" s="63">
        <v>2018</v>
      </c>
      <c r="D166" s="63">
        <v>2019</v>
      </c>
      <c r="E166" s="63">
        <v>2020</v>
      </c>
      <c r="F166" s="63">
        <v>2021</v>
      </c>
    </row>
    <row r="167" spans="2:12" ht="20.25" customHeight="1" thickBot="1" x14ac:dyDescent="0.3">
      <c r="B167" s="999"/>
      <c r="C167" s="64" t="s">
        <v>10</v>
      </c>
      <c r="D167" s="64" t="s">
        <v>11</v>
      </c>
      <c r="E167" s="64" t="s">
        <v>11</v>
      </c>
      <c r="F167" s="64" t="s">
        <v>11</v>
      </c>
    </row>
    <row r="168" spans="2:12" ht="15.75" thickBot="1" x14ac:dyDescent="0.3">
      <c r="B168" s="65" t="s">
        <v>58</v>
      </c>
      <c r="C168" s="164">
        <v>0</v>
      </c>
      <c r="D168" s="164">
        <v>0</v>
      </c>
      <c r="E168" s="164">
        <v>0</v>
      </c>
      <c r="F168" s="164">
        <v>0</v>
      </c>
    </row>
    <row r="169" spans="2:12" ht="15.75" thickBot="1" x14ac:dyDescent="0.3">
      <c r="B169" s="65" t="s">
        <v>59</v>
      </c>
      <c r="C169" s="165">
        <v>200</v>
      </c>
      <c r="D169" s="164">
        <v>200</v>
      </c>
      <c r="E169" s="161">
        <v>300</v>
      </c>
      <c r="F169" s="161">
        <v>300</v>
      </c>
    </row>
    <row r="170" spans="2:12" ht="15.75" thickBot="1" x14ac:dyDescent="0.3">
      <c r="B170" s="66" t="s">
        <v>40</v>
      </c>
      <c r="C170" s="165">
        <f>C169+C168</f>
        <v>200</v>
      </c>
      <c r="D170" s="165">
        <f t="shared" ref="D170:F170" si="13">D169+D168</f>
        <v>200</v>
      </c>
      <c r="E170" s="165">
        <f t="shared" si="13"/>
        <v>300</v>
      </c>
      <c r="F170" s="165">
        <f t="shared" si="13"/>
        <v>300</v>
      </c>
    </row>
    <row r="171" spans="2:12" ht="15.75" thickBot="1" x14ac:dyDescent="0.3">
      <c r="B171" s="199"/>
      <c r="C171" s="200"/>
      <c r="D171" s="200"/>
      <c r="E171" s="200"/>
      <c r="F171" s="201"/>
    </row>
    <row r="172" spans="2:12" ht="15.75" thickBot="1" x14ac:dyDescent="0.3">
      <c r="B172" s="158" t="s">
        <v>75</v>
      </c>
      <c r="C172" s="1052" t="s">
        <v>748</v>
      </c>
      <c r="D172" s="1053"/>
      <c r="E172" s="1053"/>
      <c r="F172" s="1054"/>
    </row>
    <row r="173" spans="2:12" ht="23.25" customHeight="1" thickBot="1" x14ac:dyDescent="0.3">
      <c r="B173" s="983" t="s">
        <v>599</v>
      </c>
      <c r="C173" s="984"/>
      <c r="D173" s="984"/>
      <c r="E173" s="984"/>
      <c r="F173" s="985"/>
      <c r="I173" s="159"/>
      <c r="K173" s="159"/>
    </row>
    <row r="174" spans="2:12" ht="75.75" thickBot="1" x14ac:dyDescent="0.3">
      <c r="B174" s="146" t="s">
        <v>749</v>
      </c>
      <c r="C174" s="157" t="s">
        <v>116</v>
      </c>
      <c r="D174" s="157" t="s">
        <v>117</v>
      </c>
      <c r="E174" s="157" t="s">
        <v>117</v>
      </c>
      <c r="F174" s="157" t="s">
        <v>117</v>
      </c>
    </row>
    <row r="175" spans="2:12" ht="30.75" thickBot="1" x14ac:dyDescent="0.3">
      <c r="B175" s="62" t="s">
        <v>750</v>
      </c>
      <c r="C175" s="157" t="s">
        <v>116</v>
      </c>
      <c r="D175" s="157" t="s">
        <v>117</v>
      </c>
      <c r="E175" s="157" t="s">
        <v>117</v>
      </c>
      <c r="F175" s="157" t="s">
        <v>117</v>
      </c>
    </row>
    <row r="176" spans="2:12" ht="45.75" thickBot="1" x14ac:dyDescent="0.3">
      <c r="B176" s="62" t="s">
        <v>751</v>
      </c>
      <c r="C176" s="157" t="s">
        <v>116</v>
      </c>
      <c r="D176" s="157" t="s">
        <v>117</v>
      </c>
      <c r="E176" s="157" t="s">
        <v>117</v>
      </c>
      <c r="F176" s="157" t="s">
        <v>117</v>
      </c>
    </row>
    <row r="177" spans="2:12" ht="15.75" thickBot="1" x14ac:dyDescent="0.3">
      <c r="B177" s="989" t="s">
        <v>14</v>
      </c>
      <c r="C177" s="990"/>
      <c r="D177" s="990"/>
      <c r="E177" s="990"/>
      <c r="F177" s="991"/>
    </row>
    <row r="178" spans="2:12" ht="15.75" thickBot="1" x14ac:dyDescent="0.3">
      <c r="B178" s="989" t="s">
        <v>104</v>
      </c>
      <c r="C178" s="990"/>
      <c r="D178" s="990"/>
      <c r="E178" s="990"/>
      <c r="F178" s="991"/>
    </row>
    <row r="179" spans="2:12" ht="32.25" customHeight="1" thickBot="1" x14ac:dyDescent="0.3">
      <c r="B179" s="160" t="s">
        <v>105</v>
      </c>
      <c r="C179" s="1007" t="s">
        <v>752</v>
      </c>
      <c r="D179" s="1006"/>
      <c r="E179" s="1006"/>
      <c r="F179" s="1008"/>
    </row>
    <row r="180" spans="2:12" ht="43.5" customHeight="1" thickBot="1" x14ac:dyDescent="0.3">
      <c r="B180" s="62" t="s">
        <v>17</v>
      </c>
      <c r="C180" s="1049" t="s">
        <v>753</v>
      </c>
      <c r="D180" s="1050"/>
      <c r="E180" s="1050"/>
      <c r="F180" s="1051"/>
    </row>
    <row r="181" spans="2:12" ht="33" customHeight="1" thickBot="1" x14ac:dyDescent="0.3">
      <c r="B181" s="62" t="s">
        <v>18</v>
      </c>
      <c r="C181" s="995" t="s">
        <v>754</v>
      </c>
      <c r="D181" s="996"/>
      <c r="E181" s="996"/>
      <c r="F181" s="997"/>
    </row>
    <row r="182" spans="2:12" ht="12.75" customHeight="1" x14ac:dyDescent="0.25">
      <c r="B182" s="998"/>
      <c r="C182" s="63">
        <v>2018</v>
      </c>
      <c r="D182" s="63">
        <v>2019</v>
      </c>
      <c r="E182" s="63">
        <v>2020</v>
      </c>
      <c r="F182" s="63">
        <v>2021</v>
      </c>
    </row>
    <row r="183" spans="2:12" ht="25.5" customHeight="1" thickBot="1" x14ac:dyDescent="0.3">
      <c r="B183" s="999"/>
      <c r="C183" s="64" t="s">
        <v>10</v>
      </c>
      <c r="D183" s="64" t="s">
        <v>11</v>
      </c>
      <c r="E183" s="64" t="s">
        <v>11</v>
      </c>
      <c r="F183" s="64" t="s">
        <v>11</v>
      </c>
    </row>
    <row r="184" spans="2:12" ht="15.75" thickBot="1" x14ac:dyDescent="0.3">
      <c r="B184" s="62" t="s">
        <v>19</v>
      </c>
      <c r="C184" s="161">
        <v>20</v>
      </c>
      <c r="D184" s="203">
        <v>20</v>
      </c>
      <c r="E184" s="203">
        <v>20</v>
      </c>
      <c r="F184" s="203">
        <v>20</v>
      </c>
    </row>
    <row r="185" spans="2:12" ht="15.75" thickBot="1" x14ac:dyDescent="0.3">
      <c r="B185" s="62" t="s">
        <v>20</v>
      </c>
      <c r="C185" s="161">
        <v>7000</v>
      </c>
      <c r="D185" s="161">
        <v>6500</v>
      </c>
      <c r="E185" s="161">
        <v>6500</v>
      </c>
      <c r="F185" s="161">
        <v>6500</v>
      </c>
    </row>
    <row r="186" spans="2:12" ht="15.75" thickBot="1" x14ac:dyDescent="0.3">
      <c r="B186" s="62" t="s">
        <v>21</v>
      </c>
      <c r="C186" s="161">
        <f>C185/C184</f>
        <v>350</v>
      </c>
      <c r="D186" s="161">
        <f t="shared" ref="D186:F186" si="14">D185/D184</f>
        <v>325</v>
      </c>
      <c r="E186" s="161">
        <f t="shared" si="14"/>
        <v>325</v>
      </c>
      <c r="F186" s="161">
        <f t="shared" si="14"/>
        <v>325</v>
      </c>
    </row>
    <row r="187" spans="2:12" ht="15.75" thickBot="1" x14ac:dyDescent="0.3">
      <c r="B187" s="62" t="s">
        <v>22</v>
      </c>
      <c r="C187" s="145" t="s">
        <v>23</v>
      </c>
      <c r="D187" s="162">
        <f>D184/C184-1</f>
        <v>0</v>
      </c>
      <c r="E187" s="162">
        <f t="shared" ref="E187:F189" si="15">E184/D184-1</f>
        <v>0</v>
      </c>
      <c r="F187" s="162">
        <f t="shared" si="15"/>
        <v>0</v>
      </c>
      <c r="H187" s="163"/>
      <c r="I187" s="163"/>
      <c r="J187" s="163"/>
      <c r="K187" s="163"/>
      <c r="L187" s="163"/>
    </row>
    <row r="188" spans="2:12" ht="15.75" thickBot="1" x14ac:dyDescent="0.3">
      <c r="B188" s="62" t="s">
        <v>24</v>
      </c>
      <c r="C188" s="145" t="s">
        <v>23</v>
      </c>
      <c r="D188" s="162">
        <f>D185/C185-1</f>
        <v>-7.1428571428571397E-2</v>
      </c>
      <c r="E188" s="162">
        <f t="shared" si="15"/>
        <v>0</v>
      </c>
      <c r="F188" s="162">
        <f t="shared" si="15"/>
        <v>0</v>
      </c>
    </row>
    <row r="189" spans="2:12" ht="15.75" thickBot="1" x14ac:dyDescent="0.3">
      <c r="B189" s="62" t="s">
        <v>25</v>
      </c>
      <c r="C189" s="145" t="s">
        <v>23</v>
      </c>
      <c r="D189" s="162">
        <f>D186/C186-1</f>
        <v>-7.1428571428571397E-2</v>
      </c>
      <c r="E189" s="162">
        <f t="shared" si="15"/>
        <v>0</v>
      </c>
      <c r="F189" s="162">
        <f t="shared" si="15"/>
        <v>0</v>
      </c>
    </row>
    <row r="190" spans="2:12" ht="15.75" thickBot="1" x14ac:dyDescent="0.3">
      <c r="B190" s="1000" t="s">
        <v>784</v>
      </c>
      <c r="C190" s="1001"/>
      <c r="D190" s="1001"/>
      <c r="E190" s="1001"/>
      <c r="F190" s="1002"/>
    </row>
    <row r="191" spans="2:12" ht="12.75" customHeight="1" x14ac:dyDescent="0.25">
      <c r="B191" s="998"/>
      <c r="C191" s="63">
        <v>2018</v>
      </c>
      <c r="D191" s="63">
        <v>2019</v>
      </c>
      <c r="E191" s="63">
        <v>2020</v>
      </c>
      <c r="F191" s="63">
        <v>2021</v>
      </c>
    </row>
    <row r="192" spans="2:12" ht="9" customHeight="1" thickBot="1" x14ac:dyDescent="0.3">
      <c r="B192" s="999"/>
      <c r="C192" s="64" t="s">
        <v>10</v>
      </c>
      <c r="D192" s="64" t="s">
        <v>11</v>
      </c>
      <c r="E192" s="64" t="s">
        <v>11</v>
      </c>
      <c r="F192" s="64" t="s">
        <v>11</v>
      </c>
    </row>
    <row r="193" spans="2:6" ht="15.75" thickBot="1" x14ac:dyDescent="0.3">
      <c r="B193" s="65" t="s">
        <v>26</v>
      </c>
      <c r="C193" s="164">
        <v>1000</v>
      </c>
      <c r="D193" s="164">
        <v>1000</v>
      </c>
      <c r="E193" s="164">
        <v>1000</v>
      </c>
      <c r="F193" s="164">
        <v>1000</v>
      </c>
    </row>
    <row r="194" spans="2:6" ht="15.75" thickBot="1" x14ac:dyDescent="0.3">
      <c r="B194" s="65" t="s">
        <v>28</v>
      </c>
      <c r="C194" s="164">
        <v>500</v>
      </c>
      <c r="D194" s="164">
        <v>500</v>
      </c>
      <c r="E194" s="164">
        <v>500</v>
      </c>
      <c r="F194" s="164">
        <v>500</v>
      </c>
    </row>
    <row r="195" spans="2:6" ht="15.75" thickBot="1" x14ac:dyDescent="0.3">
      <c r="B195" s="65" t="s">
        <v>30</v>
      </c>
      <c r="C195" s="165">
        <v>2600</v>
      </c>
      <c r="D195" s="165">
        <v>2600</v>
      </c>
      <c r="E195" s="165">
        <v>2600</v>
      </c>
      <c r="F195" s="165">
        <v>2600</v>
      </c>
    </row>
    <row r="196" spans="2:6" ht="15.75" thickBot="1" x14ac:dyDescent="0.3">
      <c r="B196" s="65" t="s">
        <v>32</v>
      </c>
      <c r="C196" s="165">
        <v>0</v>
      </c>
      <c r="D196" s="165">
        <v>0</v>
      </c>
      <c r="E196" s="165">
        <v>0</v>
      </c>
      <c r="F196" s="165">
        <v>0</v>
      </c>
    </row>
    <row r="197" spans="2:6" ht="15.75" thickBot="1" x14ac:dyDescent="0.3">
      <c r="B197" s="65" t="s">
        <v>34</v>
      </c>
      <c r="C197" s="165">
        <v>300</v>
      </c>
      <c r="D197" s="165">
        <v>300</v>
      </c>
      <c r="E197" s="165">
        <v>300</v>
      </c>
      <c r="F197" s="165">
        <v>300</v>
      </c>
    </row>
    <row r="198" spans="2:6" ht="15.75" thickBot="1" x14ac:dyDescent="0.3">
      <c r="B198" s="65" t="s">
        <v>36</v>
      </c>
      <c r="C198" s="165">
        <v>0</v>
      </c>
      <c r="D198" s="165">
        <v>0</v>
      </c>
      <c r="E198" s="165">
        <v>0</v>
      </c>
      <c r="F198" s="165">
        <v>0</v>
      </c>
    </row>
    <row r="199" spans="2:6" ht="15.75" thickBot="1" x14ac:dyDescent="0.3">
      <c r="B199" s="65" t="s">
        <v>38</v>
      </c>
      <c r="C199" s="165">
        <v>2600</v>
      </c>
      <c r="D199" s="165">
        <v>2100</v>
      </c>
      <c r="E199" s="165">
        <v>2100</v>
      </c>
      <c r="F199" s="165">
        <v>2100</v>
      </c>
    </row>
    <row r="200" spans="2:6" ht="15.75" thickBot="1" x14ac:dyDescent="0.3">
      <c r="B200" s="66" t="s">
        <v>40</v>
      </c>
      <c r="C200" s="165">
        <f>C199+C198+C197+C196+C195+C194+C193</f>
        <v>7000</v>
      </c>
      <c r="D200" s="165">
        <f>D199+D198+D197+D196+D195+D194+D193</f>
        <v>6500</v>
      </c>
      <c r="E200" s="165">
        <f>E199+E198+E197+E196+E195+E194+E193</f>
        <v>6500</v>
      </c>
      <c r="F200" s="165">
        <f>F199+F198+F197+F196+F195+F194+F193</f>
        <v>6500</v>
      </c>
    </row>
    <row r="201" spans="2:6" ht="15.75" thickBot="1" x14ac:dyDescent="0.3">
      <c r="B201" s="166" t="s">
        <v>41</v>
      </c>
      <c r="C201" s="167">
        <f>IF(C200-C185=0,0,"Error")</f>
        <v>0</v>
      </c>
      <c r="D201" s="167">
        <f>IF(D200-D185=0,0,"Error")</f>
        <v>0</v>
      </c>
      <c r="E201" s="167">
        <f>IF(E200-E185=0,0,"Error")</f>
        <v>0</v>
      </c>
      <c r="F201" s="167">
        <f>IF(F200-F185=0,0,"Error")</f>
        <v>0</v>
      </c>
    </row>
    <row r="202" spans="2:6" ht="15.75" thickBot="1" x14ac:dyDescent="0.3">
      <c r="B202" s="381"/>
      <c r="C202" s="382"/>
      <c r="D202" s="382"/>
      <c r="E202" s="382"/>
      <c r="F202" s="383"/>
    </row>
    <row r="203" spans="2:6" ht="23.25" customHeight="1" thickBot="1" x14ac:dyDescent="0.3">
      <c r="B203" s="218" t="s">
        <v>42</v>
      </c>
      <c r="C203" s="992" t="s">
        <v>755</v>
      </c>
      <c r="D203" s="993"/>
      <c r="E203" s="993"/>
      <c r="F203" s="994"/>
    </row>
    <row r="204" spans="2:6" ht="45" customHeight="1" thickBot="1" x14ac:dyDescent="0.3">
      <c r="B204" s="62" t="s">
        <v>17</v>
      </c>
      <c r="C204" s="983" t="s">
        <v>756</v>
      </c>
      <c r="D204" s="984"/>
      <c r="E204" s="984"/>
      <c r="F204" s="985"/>
    </row>
    <row r="205" spans="2:6" ht="15.75" customHeight="1" thickBot="1" x14ac:dyDescent="0.3">
      <c r="B205" s="62" t="s">
        <v>18</v>
      </c>
      <c r="C205" s="995" t="s">
        <v>757</v>
      </c>
      <c r="D205" s="996"/>
      <c r="E205" s="996"/>
      <c r="F205" s="997"/>
    </row>
    <row r="206" spans="2:6" x14ac:dyDescent="0.25">
      <c r="B206" s="998"/>
      <c r="C206" s="63">
        <v>2018</v>
      </c>
      <c r="D206" s="63">
        <v>2019</v>
      </c>
      <c r="E206" s="63">
        <v>2020</v>
      </c>
      <c r="F206" s="63">
        <v>2021</v>
      </c>
    </row>
    <row r="207" spans="2:6" ht="12.75" customHeight="1" thickBot="1" x14ac:dyDescent="0.3">
      <c r="B207" s="999"/>
      <c r="C207" s="64" t="s">
        <v>10</v>
      </c>
      <c r="D207" s="64" t="s">
        <v>11</v>
      </c>
      <c r="E207" s="64" t="s">
        <v>11</v>
      </c>
      <c r="F207" s="64" t="s">
        <v>11</v>
      </c>
    </row>
    <row r="208" spans="2:6" ht="24" customHeight="1" thickBot="1" x14ac:dyDescent="0.3">
      <c r="B208" s="62" t="s">
        <v>19</v>
      </c>
      <c r="C208" s="161">
        <v>15</v>
      </c>
      <c r="D208" s="161">
        <v>15</v>
      </c>
      <c r="E208" s="161">
        <v>15</v>
      </c>
      <c r="F208" s="161">
        <v>15</v>
      </c>
    </row>
    <row r="209" spans="2:6" ht="15.75" thickBot="1" x14ac:dyDescent="0.3">
      <c r="B209" s="62" t="s">
        <v>20</v>
      </c>
      <c r="C209" s="161">
        <v>6500</v>
      </c>
      <c r="D209" s="161">
        <v>6500</v>
      </c>
      <c r="E209" s="161">
        <v>6500</v>
      </c>
      <c r="F209" s="161">
        <v>6500</v>
      </c>
    </row>
    <row r="210" spans="2:6" ht="15.75" thickBot="1" x14ac:dyDescent="0.3">
      <c r="B210" s="62" t="s">
        <v>21</v>
      </c>
      <c r="C210" s="161">
        <f>C209/C206</f>
        <v>3.2210109018830524</v>
      </c>
      <c r="D210" s="161">
        <f>D209/D206</f>
        <v>3.219415552253591</v>
      </c>
      <c r="E210" s="161">
        <f>E209/E206</f>
        <v>3.217821782178218</v>
      </c>
      <c r="F210" s="161">
        <f>F209/F206</f>
        <v>3.2162295893122215</v>
      </c>
    </row>
    <row r="211" spans="2:6" ht="15.75" thickBot="1" x14ac:dyDescent="0.3">
      <c r="B211" s="62" t="s">
        <v>22</v>
      </c>
      <c r="C211" s="145"/>
      <c r="D211" s="162">
        <f>D206/C206-1</f>
        <v>4.9554013875119374E-4</v>
      </c>
      <c r="E211" s="162">
        <f>E206/D206-1</f>
        <v>4.9529470034670453E-4</v>
      </c>
      <c r="F211" s="162">
        <f>F206/E206-1</f>
        <v>4.9504950495049549E-4</v>
      </c>
    </row>
    <row r="212" spans="2:6" ht="15.75" thickBot="1" x14ac:dyDescent="0.3">
      <c r="B212" s="62" t="s">
        <v>24</v>
      </c>
      <c r="C212" s="145"/>
      <c r="D212" s="162">
        <f>D209/C209-1</f>
        <v>0</v>
      </c>
      <c r="E212" s="162">
        <f t="shared" ref="E212:F213" si="16">E209/D209-1</f>
        <v>0</v>
      </c>
      <c r="F212" s="162">
        <f t="shared" si="16"/>
        <v>0</v>
      </c>
    </row>
    <row r="213" spans="2:6" ht="15.75" thickBot="1" x14ac:dyDescent="0.3">
      <c r="B213" s="62" t="s">
        <v>25</v>
      </c>
      <c r="C213" s="145"/>
      <c r="D213" s="162">
        <f>D210/C210-1</f>
        <v>-4.9529470034659351E-4</v>
      </c>
      <c r="E213" s="162">
        <f t="shared" si="16"/>
        <v>-4.9504950495049549E-4</v>
      </c>
      <c r="F213" s="162">
        <f t="shared" si="16"/>
        <v>-4.9480455220196617E-4</v>
      </c>
    </row>
    <row r="214" spans="2:6" ht="24.75" customHeight="1" thickBot="1" x14ac:dyDescent="0.3">
      <c r="B214" s="1000" t="s">
        <v>796</v>
      </c>
      <c r="C214" s="1001"/>
      <c r="D214" s="1001"/>
      <c r="E214" s="1001"/>
      <c r="F214" s="1002"/>
    </row>
    <row r="215" spans="2:6" ht="12.75" customHeight="1" x14ac:dyDescent="0.25">
      <c r="B215" s="998"/>
      <c r="C215" s="63">
        <v>2018</v>
      </c>
      <c r="D215" s="63">
        <v>2019</v>
      </c>
      <c r="E215" s="63">
        <v>2020</v>
      </c>
      <c r="F215" s="63">
        <v>2021</v>
      </c>
    </row>
    <row r="216" spans="2:6" ht="24" customHeight="1" thickBot="1" x14ac:dyDescent="0.3">
      <c r="B216" s="999"/>
      <c r="C216" s="64" t="s">
        <v>10</v>
      </c>
      <c r="D216" s="64" t="s">
        <v>11</v>
      </c>
      <c r="E216" s="64" t="s">
        <v>11</v>
      </c>
      <c r="F216" s="64" t="s">
        <v>11</v>
      </c>
    </row>
    <row r="217" spans="2:6" ht="24.75" customHeight="1" thickBot="1" x14ac:dyDescent="0.3">
      <c r="B217" s="65" t="s">
        <v>26</v>
      </c>
      <c r="C217" s="164">
        <v>1000</v>
      </c>
      <c r="D217" s="164">
        <v>1100</v>
      </c>
      <c r="E217" s="164">
        <v>1100</v>
      </c>
      <c r="F217" s="164">
        <v>1100</v>
      </c>
    </row>
    <row r="218" spans="2:6" ht="24.75" customHeight="1" thickBot="1" x14ac:dyDescent="0.3">
      <c r="B218" s="65" t="s">
        <v>28</v>
      </c>
      <c r="C218" s="164">
        <v>500</v>
      </c>
      <c r="D218" s="164">
        <v>550</v>
      </c>
      <c r="E218" s="164">
        <v>550</v>
      </c>
      <c r="F218" s="164">
        <v>550</v>
      </c>
    </row>
    <row r="219" spans="2:6" ht="24.75" customHeight="1" thickBot="1" x14ac:dyDescent="0.3">
      <c r="B219" s="65" t="s">
        <v>30</v>
      </c>
      <c r="C219" s="165">
        <v>2400</v>
      </c>
      <c r="D219" s="165">
        <v>2750</v>
      </c>
      <c r="E219" s="165">
        <v>2750</v>
      </c>
      <c r="F219" s="165">
        <v>2750</v>
      </c>
    </row>
    <row r="220" spans="2:6" ht="15.75" thickBot="1" x14ac:dyDescent="0.3">
      <c r="B220" s="65" t="s">
        <v>32</v>
      </c>
      <c r="C220" s="165">
        <v>0</v>
      </c>
      <c r="D220" s="165">
        <v>0</v>
      </c>
      <c r="E220" s="165">
        <v>0</v>
      </c>
      <c r="F220" s="165">
        <v>0</v>
      </c>
    </row>
    <row r="221" spans="2:6" ht="15.75" thickBot="1" x14ac:dyDescent="0.3">
      <c r="B221" s="65" t="s">
        <v>34</v>
      </c>
      <c r="C221" s="165">
        <v>0</v>
      </c>
      <c r="D221" s="165">
        <v>0</v>
      </c>
      <c r="E221" s="165">
        <v>0</v>
      </c>
      <c r="F221" s="165">
        <v>0</v>
      </c>
    </row>
    <row r="222" spans="2:6" ht="15.75" thickBot="1" x14ac:dyDescent="0.3">
      <c r="B222" s="65" t="s">
        <v>36</v>
      </c>
      <c r="C222" s="165">
        <v>0</v>
      </c>
      <c r="D222" s="165">
        <v>0</v>
      </c>
      <c r="E222" s="165">
        <v>0</v>
      </c>
      <c r="F222" s="165">
        <v>0</v>
      </c>
    </row>
    <row r="223" spans="2:6" ht="15.75" thickBot="1" x14ac:dyDescent="0.3">
      <c r="B223" s="65" t="s">
        <v>38</v>
      </c>
      <c r="C223" s="165">
        <v>2600</v>
      </c>
      <c r="D223" s="165">
        <v>2100</v>
      </c>
      <c r="E223" s="165">
        <v>2100</v>
      </c>
      <c r="F223" s="165">
        <v>2100</v>
      </c>
    </row>
    <row r="224" spans="2:6" ht="15.75" thickBot="1" x14ac:dyDescent="0.3">
      <c r="B224" s="196" t="s">
        <v>74</v>
      </c>
      <c r="C224" s="165">
        <f>C223+C222+C221+C220+C219+C218+C217</f>
        <v>6500</v>
      </c>
      <c r="D224" s="165">
        <f>D223+D222+D221+D220+D219+D218+D217</f>
        <v>6500</v>
      </c>
      <c r="E224" s="165">
        <f>E223+E222+E221+E220+E219+E218+E217</f>
        <v>6500</v>
      </c>
      <c r="F224" s="165">
        <f>F223+F222+F221+F220+F219+F218+F217</f>
        <v>6500</v>
      </c>
    </row>
    <row r="225" spans="2:12" ht="17.25" customHeight="1" thickBot="1" x14ac:dyDescent="0.3">
      <c r="B225" s="166" t="s">
        <v>41</v>
      </c>
      <c r="C225" s="167">
        <f>IF(C224-C209=0,0,"Error")</f>
        <v>0</v>
      </c>
      <c r="D225" s="167">
        <f>IF(D224-D209=0,0,"Error")</f>
        <v>0</v>
      </c>
      <c r="E225" s="167">
        <f>IF(E224-E209=0,0,"Error")</f>
        <v>0</v>
      </c>
      <c r="F225" s="167">
        <f>IF(F224-F209=0,0,"Error")</f>
        <v>0</v>
      </c>
    </row>
    <row r="226" spans="2:12" ht="17.25" customHeight="1" thickBot="1" x14ac:dyDescent="0.3">
      <c r="B226" s="371"/>
      <c r="C226" s="372"/>
      <c r="D226" s="372"/>
      <c r="E226" s="372"/>
      <c r="F226" s="373"/>
    </row>
    <row r="227" spans="2:12" ht="15.75" thickBot="1" x14ac:dyDescent="0.3">
      <c r="B227" s="989" t="s">
        <v>63</v>
      </c>
      <c r="C227" s="990"/>
      <c r="D227" s="990"/>
      <c r="E227" s="990"/>
      <c r="F227" s="991"/>
    </row>
    <row r="228" spans="2:12" ht="15.75" thickBot="1" x14ac:dyDescent="0.3">
      <c r="B228" s="989" t="s">
        <v>56</v>
      </c>
      <c r="C228" s="990"/>
      <c r="D228" s="990"/>
      <c r="E228" s="990"/>
      <c r="F228" s="991"/>
    </row>
    <row r="229" spans="2:12" ht="15.75" thickBot="1" x14ac:dyDescent="0.3">
      <c r="B229" s="67" t="s">
        <v>737</v>
      </c>
      <c r="C229" s="1009" t="s">
        <v>738</v>
      </c>
      <c r="D229" s="1010"/>
      <c r="E229" s="1010"/>
      <c r="F229" s="1011"/>
    </row>
    <row r="230" spans="2:12" ht="27" customHeight="1" thickBot="1" x14ac:dyDescent="0.3">
      <c r="B230" s="160" t="s">
        <v>16</v>
      </c>
      <c r="C230" s="1007" t="s">
        <v>752</v>
      </c>
      <c r="D230" s="1006"/>
      <c r="E230" s="1006"/>
      <c r="F230" s="1008"/>
    </row>
    <row r="231" spans="2:12" ht="51" customHeight="1" thickBot="1" x14ac:dyDescent="0.3">
      <c r="B231" s="62" t="s">
        <v>17</v>
      </c>
      <c r="C231" s="1049" t="s">
        <v>753</v>
      </c>
      <c r="D231" s="1050"/>
      <c r="E231" s="1050"/>
      <c r="F231" s="1051"/>
    </row>
    <row r="232" spans="2:12" ht="15.75" customHeight="1" thickBot="1" x14ac:dyDescent="0.3">
      <c r="B232" s="62" t="s">
        <v>18</v>
      </c>
      <c r="C232" s="995" t="s">
        <v>754</v>
      </c>
      <c r="D232" s="996"/>
      <c r="E232" s="996"/>
      <c r="F232" s="997"/>
    </row>
    <row r="233" spans="2:12" ht="12.75" customHeight="1" x14ac:dyDescent="0.25">
      <c r="B233" s="998"/>
      <c r="C233" s="63">
        <v>2018</v>
      </c>
      <c r="D233" s="63">
        <v>2019</v>
      </c>
      <c r="E233" s="63">
        <v>2020</v>
      </c>
      <c r="F233" s="63">
        <v>2021</v>
      </c>
    </row>
    <row r="234" spans="2:12" ht="15" customHeight="1" thickBot="1" x14ac:dyDescent="0.3">
      <c r="B234" s="999"/>
      <c r="C234" s="64" t="s">
        <v>10</v>
      </c>
      <c r="D234" s="64" t="s">
        <v>11</v>
      </c>
      <c r="E234" s="64" t="s">
        <v>11</v>
      </c>
      <c r="F234" s="64" t="s">
        <v>11</v>
      </c>
    </row>
    <row r="235" spans="2:12" ht="15.75" thickBot="1" x14ac:dyDescent="0.3">
      <c r="B235" s="62" t="s">
        <v>19</v>
      </c>
      <c r="C235" s="161">
        <v>20</v>
      </c>
      <c r="D235" s="203">
        <v>20</v>
      </c>
      <c r="E235" s="203">
        <v>20</v>
      </c>
      <c r="F235" s="203">
        <v>20</v>
      </c>
    </row>
    <row r="236" spans="2:12" ht="15.75" thickBot="1" x14ac:dyDescent="0.3">
      <c r="B236" s="62" t="s">
        <v>20</v>
      </c>
      <c r="C236" s="161">
        <v>200</v>
      </c>
      <c r="D236" s="161">
        <v>200</v>
      </c>
      <c r="E236" s="161">
        <v>200</v>
      </c>
      <c r="F236" s="161">
        <v>200</v>
      </c>
    </row>
    <row r="237" spans="2:12" ht="15.75" thickBot="1" x14ac:dyDescent="0.3">
      <c r="B237" s="62" t="s">
        <v>21</v>
      </c>
      <c r="C237" s="161">
        <f>C236/C235</f>
        <v>10</v>
      </c>
      <c r="D237" s="161">
        <f t="shared" ref="D237:F237" si="17">D236/D235</f>
        <v>10</v>
      </c>
      <c r="E237" s="161">
        <f t="shared" si="17"/>
        <v>10</v>
      </c>
      <c r="F237" s="161">
        <f t="shared" si="17"/>
        <v>10</v>
      </c>
    </row>
    <row r="238" spans="2:12" ht="15.75" thickBot="1" x14ac:dyDescent="0.3">
      <c r="B238" s="62" t="s">
        <v>22</v>
      </c>
      <c r="C238" s="145" t="s">
        <v>23</v>
      </c>
      <c r="D238" s="162">
        <f>D235/C235-1</f>
        <v>0</v>
      </c>
      <c r="E238" s="162">
        <f t="shared" ref="E238:F240" si="18">E235/D235-1</f>
        <v>0</v>
      </c>
      <c r="F238" s="162">
        <f t="shared" si="18"/>
        <v>0</v>
      </c>
      <c r="H238" s="163"/>
      <c r="I238" s="163"/>
      <c r="J238" s="163"/>
      <c r="K238" s="163"/>
      <c r="L238" s="163"/>
    </row>
    <row r="239" spans="2:12" ht="15.75" thickBot="1" x14ac:dyDescent="0.3">
      <c r="B239" s="62" t="s">
        <v>24</v>
      </c>
      <c r="C239" s="145" t="s">
        <v>23</v>
      </c>
      <c r="D239" s="162">
        <f>D236/C236-1</f>
        <v>0</v>
      </c>
      <c r="E239" s="162">
        <f t="shared" si="18"/>
        <v>0</v>
      </c>
      <c r="F239" s="162">
        <f t="shared" si="18"/>
        <v>0</v>
      </c>
    </row>
    <row r="240" spans="2:12" ht="15.75" thickBot="1" x14ac:dyDescent="0.3">
      <c r="B240" s="62" t="s">
        <v>25</v>
      </c>
      <c r="C240" s="145" t="s">
        <v>23</v>
      </c>
      <c r="D240" s="162">
        <f>D237/C237-1</f>
        <v>0</v>
      </c>
      <c r="E240" s="162">
        <f t="shared" si="18"/>
        <v>0</v>
      </c>
      <c r="F240" s="162">
        <f t="shared" si="18"/>
        <v>0</v>
      </c>
    </row>
    <row r="241" spans="2:6" ht="15.75" thickBot="1" x14ac:dyDescent="0.3">
      <c r="B241" s="1000" t="s">
        <v>784</v>
      </c>
      <c r="C241" s="1001"/>
      <c r="D241" s="1001"/>
      <c r="E241" s="1001"/>
      <c r="F241" s="1002"/>
    </row>
    <row r="242" spans="2:6" ht="12.75" customHeight="1" x14ac:dyDescent="0.25">
      <c r="B242" s="998"/>
      <c r="C242" s="63">
        <v>2018</v>
      </c>
      <c r="D242" s="63">
        <v>2019</v>
      </c>
      <c r="E242" s="63">
        <v>2020</v>
      </c>
      <c r="F242" s="63">
        <v>2021</v>
      </c>
    </row>
    <row r="243" spans="2:6" ht="18.75" customHeight="1" thickBot="1" x14ac:dyDescent="0.3">
      <c r="B243" s="999"/>
      <c r="C243" s="64" t="s">
        <v>10</v>
      </c>
      <c r="D243" s="64" t="s">
        <v>11</v>
      </c>
      <c r="E243" s="64" t="s">
        <v>11</v>
      </c>
      <c r="F243" s="64" t="s">
        <v>11</v>
      </c>
    </row>
    <row r="244" spans="2:6" ht="15.75" thickBot="1" x14ac:dyDescent="0.3">
      <c r="B244" s="65" t="s">
        <v>58</v>
      </c>
      <c r="C244" s="165">
        <v>0</v>
      </c>
      <c r="D244" s="165">
        <v>0</v>
      </c>
      <c r="E244" s="165">
        <v>0</v>
      </c>
      <c r="F244" s="165">
        <v>0</v>
      </c>
    </row>
    <row r="245" spans="2:6" ht="15.75" thickBot="1" x14ac:dyDescent="0.3">
      <c r="B245" s="65" t="s">
        <v>59</v>
      </c>
      <c r="C245" s="165">
        <v>200</v>
      </c>
      <c r="D245" s="164">
        <v>200</v>
      </c>
      <c r="E245" s="164">
        <v>200</v>
      </c>
      <c r="F245" s="164">
        <v>200</v>
      </c>
    </row>
    <row r="246" spans="2:6" ht="15.75" thickBot="1" x14ac:dyDescent="0.3">
      <c r="B246" s="66" t="s">
        <v>40</v>
      </c>
      <c r="C246" s="165">
        <f>C245+C244</f>
        <v>200</v>
      </c>
      <c r="D246" s="165">
        <f t="shared" ref="D246:F246" si="19">D245+D244</f>
        <v>200</v>
      </c>
      <c r="E246" s="165">
        <f t="shared" si="19"/>
        <v>200</v>
      </c>
      <c r="F246" s="165">
        <f t="shared" si="19"/>
        <v>200</v>
      </c>
    </row>
    <row r="247" spans="2:6" x14ac:dyDescent="0.25">
      <c r="B247" s="1015" t="s">
        <v>60</v>
      </c>
      <c r="C247" s="1036"/>
      <c r="D247" s="1037"/>
      <c r="E247" s="1037"/>
      <c r="F247" s="1038"/>
    </row>
    <row r="248" spans="2:6" x14ac:dyDescent="0.25">
      <c r="B248" s="1016"/>
      <c r="C248" s="1039"/>
      <c r="D248" s="1040"/>
      <c r="E248" s="1040"/>
      <c r="F248" s="1041"/>
    </row>
    <row r="249" spans="2:6" ht="6" customHeight="1" thickBot="1" x14ac:dyDescent="0.3">
      <c r="B249" s="1017"/>
      <c r="C249" s="1042"/>
      <c r="D249" s="1043"/>
      <c r="E249" s="1043"/>
      <c r="F249" s="1044"/>
    </row>
    <row r="250" spans="2:6" ht="15.75" thickBot="1" x14ac:dyDescent="0.3">
      <c r="B250" s="374"/>
      <c r="C250" s="375"/>
      <c r="D250" s="376"/>
      <c r="E250" s="376"/>
      <c r="F250" s="377"/>
    </row>
    <row r="251" spans="2:6" ht="15.75" thickBot="1" x14ac:dyDescent="0.3">
      <c r="B251" s="67" t="s">
        <v>735</v>
      </c>
      <c r="C251" s="1009" t="s">
        <v>736</v>
      </c>
      <c r="D251" s="1010"/>
      <c r="E251" s="1010"/>
      <c r="F251" s="1011"/>
    </row>
    <row r="252" spans="2:6" ht="15.75" customHeight="1" thickBot="1" x14ac:dyDescent="0.3">
      <c r="B252" s="160" t="s">
        <v>42</v>
      </c>
      <c r="C252" s="992" t="s">
        <v>755</v>
      </c>
      <c r="D252" s="993"/>
      <c r="E252" s="993"/>
      <c r="F252" s="994"/>
    </row>
    <row r="253" spans="2:6" ht="60" customHeight="1" thickBot="1" x14ac:dyDescent="0.3">
      <c r="B253" s="62" t="s">
        <v>17</v>
      </c>
      <c r="C253" s="983" t="s">
        <v>756</v>
      </c>
      <c r="D253" s="984"/>
      <c r="E253" s="984"/>
      <c r="F253" s="985"/>
    </row>
    <row r="254" spans="2:6" ht="20.25" customHeight="1" thickBot="1" x14ac:dyDescent="0.3">
      <c r="B254" s="62" t="s">
        <v>18</v>
      </c>
      <c r="C254" s="995" t="s">
        <v>757</v>
      </c>
      <c r="D254" s="996"/>
      <c r="E254" s="996"/>
      <c r="F254" s="997"/>
    </row>
    <row r="255" spans="2:6" ht="12.75" customHeight="1" x14ac:dyDescent="0.25">
      <c r="B255" s="998"/>
      <c r="C255" s="63">
        <v>2018</v>
      </c>
      <c r="D255" s="63">
        <v>2019</v>
      </c>
      <c r="E255" s="63">
        <v>2020</v>
      </c>
      <c r="F255" s="63">
        <v>2021</v>
      </c>
    </row>
    <row r="256" spans="2:6" ht="26.25" customHeight="1" thickBot="1" x14ac:dyDescent="0.3">
      <c r="B256" s="999"/>
      <c r="C256" s="64" t="s">
        <v>10</v>
      </c>
      <c r="D256" s="64" t="s">
        <v>11</v>
      </c>
      <c r="E256" s="64" t="s">
        <v>11</v>
      </c>
      <c r="F256" s="64" t="s">
        <v>11</v>
      </c>
    </row>
    <row r="257" spans="2:12" ht="15.75" thickBot="1" x14ac:dyDescent="0.3">
      <c r="B257" s="62" t="s">
        <v>19</v>
      </c>
      <c r="C257" s="161">
        <v>15</v>
      </c>
      <c r="D257" s="161">
        <v>15</v>
      </c>
      <c r="E257" s="161">
        <v>15</v>
      </c>
      <c r="F257" s="161">
        <v>15</v>
      </c>
    </row>
    <row r="258" spans="2:12" ht="15.75" thickBot="1" x14ac:dyDescent="0.3">
      <c r="B258" s="62" t="s">
        <v>20</v>
      </c>
      <c r="C258" s="161">
        <v>400</v>
      </c>
      <c r="D258" s="161">
        <v>300</v>
      </c>
      <c r="E258" s="161">
        <v>400</v>
      </c>
      <c r="F258" s="161">
        <v>400</v>
      </c>
    </row>
    <row r="259" spans="2:12" ht="15.75" thickBot="1" x14ac:dyDescent="0.3">
      <c r="B259" s="62" t="s">
        <v>21</v>
      </c>
      <c r="C259" s="161">
        <f>C258/C257</f>
        <v>26.666666666666668</v>
      </c>
      <c r="D259" s="161">
        <f t="shared" ref="D259:F259" si="20">D258/D257</f>
        <v>20</v>
      </c>
      <c r="E259" s="161">
        <f t="shared" si="20"/>
        <v>26.666666666666668</v>
      </c>
      <c r="F259" s="161">
        <f t="shared" si="20"/>
        <v>26.666666666666668</v>
      </c>
    </row>
    <row r="260" spans="2:12" ht="15.75" thickBot="1" x14ac:dyDescent="0.3">
      <c r="B260" s="62" t="s">
        <v>22</v>
      </c>
      <c r="C260" s="145" t="s">
        <v>23</v>
      </c>
      <c r="D260" s="162">
        <f>D257/C257-1</f>
        <v>0</v>
      </c>
      <c r="E260" s="162">
        <f t="shared" ref="E260:F262" si="21">E257/D257-1</f>
        <v>0</v>
      </c>
      <c r="F260" s="162">
        <f t="shared" si="21"/>
        <v>0</v>
      </c>
      <c r="H260" s="163"/>
      <c r="I260" s="163"/>
      <c r="J260" s="163"/>
      <c r="K260" s="163"/>
      <c r="L260" s="163"/>
    </row>
    <row r="261" spans="2:12" ht="15.75" thickBot="1" x14ac:dyDescent="0.3">
      <c r="B261" s="62" t="s">
        <v>24</v>
      </c>
      <c r="C261" s="145" t="s">
        <v>23</v>
      </c>
      <c r="D261" s="162">
        <f>D258/C258-1</f>
        <v>-0.25</v>
      </c>
      <c r="E261" s="162">
        <f t="shared" si="21"/>
        <v>0.33333333333333326</v>
      </c>
      <c r="F261" s="162">
        <f t="shared" si="21"/>
        <v>0</v>
      </c>
    </row>
    <row r="262" spans="2:12" ht="15.75" thickBot="1" x14ac:dyDescent="0.3">
      <c r="B262" s="62" t="s">
        <v>25</v>
      </c>
      <c r="C262" s="145" t="s">
        <v>23</v>
      </c>
      <c r="D262" s="162">
        <f>D259/C259-1</f>
        <v>-0.25</v>
      </c>
      <c r="E262" s="162">
        <f t="shared" si="21"/>
        <v>0.33333333333333348</v>
      </c>
      <c r="F262" s="162">
        <f t="shared" si="21"/>
        <v>0</v>
      </c>
    </row>
    <row r="263" spans="2:12" ht="15.75" thickBot="1" x14ac:dyDescent="0.3">
      <c r="B263" s="1000" t="s">
        <v>786</v>
      </c>
      <c r="C263" s="1001"/>
      <c r="D263" s="1001"/>
      <c r="E263" s="1001"/>
      <c r="F263" s="1002"/>
    </row>
    <row r="264" spans="2:12" ht="12.75" customHeight="1" x14ac:dyDescent="0.25">
      <c r="B264" s="998"/>
      <c r="C264" s="63">
        <v>2018</v>
      </c>
      <c r="D264" s="63">
        <v>2019</v>
      </c>
      <c r="E264" s="63">
        <v>2020</v>
      </c>
      <c r="F264" s="63">
        <v>2021</v>
      </c>
    </row>
    <row r="265" spans="2:12" ht="15" customHeight="1" thickBot="1" x14ac:dyDescent="0.3">
      <c r="B265" s="999"/>
      <c r="C265" s="64" t="s">
        <v>10</v>
      </c>
      <c r="D265" s="64" t="s">
        <v>11</v>
      </c>
      <c r="E265" s="64" t="s">
        <v>11</v>
      </c>
      <c r="F265" s="64" t="s">
        <v>11</v>
      </c>
    </row>
    <row r="266" spans="2:12" ht="15.75" thickBot="1" x14ac:dyDescent="0.3">
      <c r="B266" s="65" t="s">
        <v>58</v>
      </c>
      <c r="C266" s="165">
        <v>0</v>
      </c>
      <c r="D266" s="165">
        <v>0</v>
      </c>
      <c r="E266" s="165">
        <v>0</v>
      </c>
      <c r="F266" s="165">
        <v>0</v>
      </c>
    </row>
    <row r="267" spans="2:12" ht="15.75" thickBot="1" x14ac:dyDescent="0.3">
      <c r="B267" s="65" t="s">
        <v>59</v>
      </c>
      <c r="C267" s="161">
        <v>400</v>
      </c>
      <c r="D267" s="161">
        <v>300</v>
      </c>
      <c r="E267" s="161">
        <v>400</v>
      </c>
      <c r="F267" s="161">
        <v>400</v>
      </c>
    </row>
    <row r="268" spans="2:12" ht="15.75" thickBot="1" x14ac:dyDescent="0.3">
      <c r="B268" s="66" t="s">
        <v>43</v>
      </c>
      <c r="C268" s="165">
        <f>C267+C266</f>
        <v>400</v>
      </c>
      <c r="D268" s="165">
        <f t="shared" ref="D268:F268" si="22">D267+D266</f>
        <v>300</v>
      </c>
      <c r="E268" s="165">
        <f t="shared" si="22"/>
        <v>400</v>
      </c>
      <c r="F268" s="165">
        <f t="shared" si="22"/>
        <v>400</v>
      </c>
    </row>
    <row r="269" spans="2:12" ht="15.75" thickBot="1" x14ac:dyDescent="0.3">
      <c r="B269" s="199"/>
      <c r="C269" s="379"/>
      <c r="D269" s="379"/>
      <c r="E269" s="379"/>
      <c r="F269" s="380"/>
    </row>
    <row r="270" spans="2:12" ht="15.75" customHeight="1" thickBot="1" x14ac:dyDescent="0.3">
      <c r="B270" s="154" t="s">
        <v>78</v>
      </c>
      <c r="C270" s="1052" t="s">
        <v>758</v>
      </c>
      <c r="D270" s="1053"/>
      <c r="E270" s="1053"/>
      <c r="F270" s="1054"/>
    </row>
    <row r="271" spans="2:12" ht="15.75" customHeight="1" thickBot="1" x14ac:dyDescent="0.3">
      <c r="B271" s="983" t="s">
        <v>195</v>
      </c>
      <c r="C271" s="984"/>
      <c r="D271" s="984"/>
      <c r="E271" s="984"/>
      <c r="F271" s="985"/>
    </row>
    <row r="272" spans="2:12" ht="60.75" thickBot="1" x14ac:dyDescent="0.3">
      <c r="B272" s="146" t="s">
        <v>759</v>
      </c>
      <c r="C272" s="157" t="s">
        <v>116</v>
      </c>
      <c r="D272" s="157" t="s">
        <v>117</v>
      </c>
      <c r="E272" s="157" t="s">
        <v>117</v>
      </c>
      <c r="F272" s="157" t="s">
        <v>117</v>
      </c>
    </row>
    <row r="273" spans="2:6" ht="15.75" thickBot="1" x14ac:dyDescent="0.3">
      <c r="B273" s="62" t="s">
        <v>760</v>
      </c>
      <c r="C273" s="157" t="s">
        <v>116</v>
      </c>
      <c r="D273" s="157" t="s">
        <v>117</v>
      </c>
      <c r="E273" s="157" t="s">
        <v>117</v>
      </c>
      <c r="F273" s="157" t="s">
        <v>117</v>
      </c>
    </row>
    <row r="274" spans="2:6" ht="45.75" thickBot="1" x14ac:dyDescent="0.3">
      <c r="B274" s="62" t="s">
        <v>761</v>
      </c>
      <c r="C274" s="157" t="s">
        <v>116</v>
      </c>
      <c r="D274" s="157" t="s">
        <v>117</v>
      </c>
      <c r="E274" s="157" t="s">
        <v>117</v>
      </c>
      <c r="F274" s="157" t="s">
        <v>117</v>
      </c>
    </row>
    <row r="275" spans="2:6" ht="23.25" customHeight="1" thickBot="1" x14ac:dyDescent="0.3">
      <c r="B275" s="1027" t="s">
        <v>346</v>
      </c>
      <c r="C275" s="1028"/>
      <c r="D275" s="1028"/>
      <c r="E275" s="1028"/>
      <c r="F275" s="1029"/>
    </row>
    <row r="276" spans="2:6" ht="23.25" customHeight="1" thickBot="1" x14ac:dyDescent="0.3">
      <c r="B276" s="1030" t="s">
        <v>70</v>
      </c>
      <c r="C276" s="1031"/>
      <c r="D276" s="1031"/>
      <c r="E276" s="1031"/>
      <c r="F276" s="1032"/>
    </row>
    <row r="277" spans="2:6" ht="12.75" customHeight="1" x14ac:dyDescent="0.25">
      <c r="B277" s="998"/>
      <c r="C277" s="63">
        <v>2018</v>
      </c>
      <c r="D277" s="63">
        <v>2019</v>
      </c>
      <c r="E277" s="63">
        <v>2020</v>
      </c>
      <c r="F277" s="63">
        <v>2021</v>
      </c>
    </row>
    <row r="278" spans="2:6" ht="22.5" customHeight="1" thickBot="1" x14ac:dyDescent="0.3">
      <c r="B278" s="999"/>
      <c r="C278" s="64" t="s">
        <v>10</v>
      </c>
      <c r="D278" s="64" t="s">
        <v>11</v>
      </c>
      <c r="E278" s="64" t="s">
        <v>11</v>
      </c>
      <c r="F278" s="64" t="s">
        <v>11</v>
      </c>
    </row>
    <row r="279" spans="2:6" ht="26.25" customHeight="1" thickBot="1" x14ac:dyDescent="0.3">
      <c r="B279" s="160" t="s">
        <v>16</v>
      </c>
      <c r="C279" s="992" t="s">
        <v>762</v>
      </c>
      <c r="D279" s="993"/>
      <c r="E279" s="993"/>
      <c r="F279" s="994"/>
    </row>
    <row r="280" spans="2:6" ht="81.75" customHeight="1" thickBot="1" x14ac:dyDescent="0.3">
      <c r="B280" s="62" t="s">
        <v>17</v>
      </c>
      <c r="C280" s="1049" t="s">
        <v>763</v>
      </c>
      <c r="D280" s="1050"/>
      <c r="E280" s="1050"/>
      <c r="F280" s="1051"/>
    </row>
    <row r="281" spans="2:6" ht="15.75" customHeight="1" thickBot="1" x14ac:dyDescent="0.3">
      <c r="B281" s="62" t="s">
        <v>18</v>
      </c>
      <c r="C281" s="995" t="s">
        <v>764</v>
      </c>
      <c r="D281" s="996"/>
      <c r="E281" s="996"/>
      <c r="F281" s="997"/>
    </row>
    <row r="282" spans="2:6" ht="12.75" customHeight="1" x14ac:dyDescent="0.25">
      <c r="B282" s="998"/>
      <c r="C282" s="63">
        <v>2018</v>
      </c>
      <c r="D282" s="63">
        <v>2019</v>
      </c>
      <c r="E282" s="63">
        <v>2020</v>
      </c>
      <c r="F282" s="63">
        <v>2021</v>
      </c>
    </row>
    <row r="283" spans="2:6" ht="25.5" customHeight="1" thickBot="1" x14ac:dyDescent="0.3">
      <c r="B283" s="999"/>
      <c r="C283" s="64" t="s">
        <v>10</v>
      </c>
      <c r="D283" s="64" t="s">
        <v>11</v>
      </c>
      <c r="E283" s="64" t="s">
        <v>11</v>
      </c>
      <c r="F283" s="64" t="s">
        <v>11</v>
      </c>
    </row>
    <row r="284" spans="2:6" ht="15.75" customHeight="1" thickBot="1" x14ac:dyDescent="0.3">
      <c r="B284" s="62" t="s">
        <v>19</v>
      </c>
      <c r="C284" s="161">
        <v>28</v>
      </c>
      <c r="D284" s="203">
        <v>30</v>
      </c>
      <c r="E284" s="203">
        <v>30</v>
      </c>
      <c r="F284" s="203">
        <v>30</v>
      </c>
    </row>
    <row r="285" spans="2:6" ht="15.75" thickBot="1" x14ac:dyDescent="0.3">
      <c r="B285" s="62" t="s">
        <v>20</v>
      </c>
      <c r="C285" s="161">
        <v>15700</v>
      </c>
      <c r="D285" s="161">
        <v>19500</v>
      </c>
      <c r="E285" s="161">
        <v>20500</v>
      </c>
      <c r="F285" s="161">
        <v>21000</v>
      </c>
    </row>
    <row r="286" spans="2:6" ht="15.75" thickBot="1" x14ac:dyDescent="0.3">
      <c r="B286" s="62" t="s">
        <v>21</v>
      </c>
      <c r="C286" s="161">
        <f>C285/C284</f>
        <v>560.71428571428567</v>
      </c>
      <c r="D286" s="161">
        <f t="shared" ref="D286:F286" si="23">D285/D284</f>
        <v>650</v>
      </c>
      <c r="E286" s="161">
        <f t="shared" si="23"/>
        <v>683.33333333333337</v>
      </c>
      <c r="F286" s="161">
        <f t="shared" si="23"/>
        <v>700</v>
      </c>
    </row>
    <row r="287" spans="2:6" ht="15.75" thickBot="1" x14ac:dyDescent="0.3">
      <c r="B287" s="62" t="s">
        <v>22</v>
      </c>
      <c r="C287" s="145"/>
      <c r="D287" s="162">
        <f>D284/C284-1</f>
        <v>7.1428571428571397E-2</v>
      </c>
      <c r="E287" s="162">
        <f t="shared" ref="E287:F289" si="24">E284/D284-1</f>
        <v>0</v>
      </c>
      <c r="F287" s="162">
        <f t="shared" si="24"/>
        <v>0</v>
      </c>
    </row>
    <row r="288" spans="2:6" ht="15.75" thickBot="1" x14ac:dyDescent="0.3">
      <c r="B288" s="62" t="s">
        <v>24</v>
      </c>
      <c r="C288" s="145"/>
      <c r="D288" s="162">
        <f>D285/C285-1</f>
        <v>0.2420382165605095</v>
      </c>
      <c r="E288" s="162">
        <f t="shared" si="24"/>
        <v>5.1282051282051322E-2</v>
      </c>
      <c r="F288" s="162">
        <f t="shared" si="24"/>
        <v>2.4390243902439046E-2</v>
      </c>
    </row>
    <row r="289" spans="2:6" ht="15.75" thickBot="1" x14ac:dyDescent="0.3">
      <c r="B289" s="62" t="s">
        <v>25</v>
      </c>
      <c r="C289" s="145"/>
      <c r="D289" s="162">
        <f>D286/C286-1</f>
        <v>0.1592356687898091</v>
      </c>
      <c r="E289" s="162">
        <f t="shared" si="24"/>
        <v>5.1282051282051322E-2</v>
      </c>
      <c r="F289" s="162">
        <f t="shared" si="24"/>
        <v>2.4390243902439046E-2</v>
      </c>
    </row>
    <row r="290" spans="2:6" ht="12.75" customHeight="1" x14ac:dyDescent="0.25">
      <c r="B290" s="998"/>
      <c r="C290" s="63">
        <v>2018</v>
      </c>
      <c r="D290" s="63">
        <v>2019</v>
      </c>
      <c r="E290" s="63">
        <v>2020</v>
      </c>
      <c r="F290" s="63">
        <v>2021</v>
      </c>
    </row>
    <row r="291" spans="2:6" ht="24.75" customHeight="1" thickBot="1" x14ac:dyDescent="0.3">
      <c r="B291" s="999"/>
      <c r="C291" s="64" t="s">
        <v>10</v>
      </c>
      <c r="D291" s="64" t="s">
        <v>11</v>
      </c>
      <c r="E291" s="64" t="s">
        <v>11</v>
      </c>
      <c r="F291" s="64" t="s">
        <v>11</v>
      </c>
    </row>
    <row r="292" spans="2:6" ht="15.75" thickBot="1" x14ac:dyDescent="0.3">
      <c r="B292" s="1000" t="s">
        <v>794</v>
      </c>
      <c r="C292" s="1001"/>
      <c r="D292" s="1001"/>
      <c r="E292" s="1001"/>
      <c r="F292" s="1002"/>
    </row>
    <row r="293" spans="2:6" ht="12.75" customHeight="1" x14ac:dyDescent="0.25">
      <c r="B293" s="998"/>
      <c r="C293" s="63">
        <v>2018</v>
      </c>
      <c r="D293" s="63">
        <v>2019</v>
      </c>
      <c r="E293" s="63">
        <v>2020</v>
      </c>
      <c r="F293" s="63">
        <v>2021</v>
      </c>
    </row>
    <row r="294" spans="2:6" ht="17.25" customHeight="1" thickBot="1" x14ac:dyDescent="0.3">
      <c r="B294" s="999"/>
      <c r="C294" s="64" t="s">
        <v>10</v>
      </c>
      <c r="D294" s="64" t="s">
        <v>11</v>
      </c>
      <c r="E294" s="64" t="s">
        <v>11</v>
      </c>
      <c r="F294" s="64" t="s">
        <v>11</v>
      </c>
    </row>
    <row r="295" spans="2:6" ht="15.75" thickBot="1" x14ac:dyDescent="0.3">
      <c r="B295" s="65" t="s">
        <v>26</v>
      </c>
      <c r="C295" s="164">
        <v>3500</v>
      </c>
      <c r="D295" s="164">
        <v>3200</v>
      </c>
      <c r="E295" s="164">
        <v>3800</v>
      </c>
      <c r="F295" s="164">
        <v>3800</v>
      </c>
    </row>
    <row r="296" spans="2:6" ht="15.75" thickBot="1" x14ac:dyDescent="0.3">
      <c r="B296" s="65" t="s">
        <v>28</v>
      </c>
      <c r="C296" s="164">
        <v>800</v>
      </c>
      <c r="D296" s="164">
        <v>1000</v>
      </c>
      <c r="E296" s="164">
        <v>1000</v>
      </c>
      <c r="F296" s="164">
        <v>1000</v>
      </c>
    </row>
    <row r="297" spans="2:6" ht="15.75" thickBot="1" x14ac:dyDescent="0.3">
      <c r="B297" s="65" t="s">
        <v>30</v>
      </c>
      <c r="C297" s="165">
        <v>7800</v>
      </c>
      <c r="D297" s="165">
        <v>9800</v>
      </c>
      <c r="E297" s="165">
        <v>10200</v>
      </c>
      <c r="F297" s="165">
        <v>10700</v>
      </c>
    </row>
    <row r="298" spans="2:6" ht="15.75" thickBot="1" x14ac:dyDescent="0.3">
      <c r="B298" s="65" t="s">
        <v>32</v>
      </c>
      <c r="C298" s="165">
        <v>0</v>
      </c>
      <c r="D298" s="165">
        <v>0</v>
      </c>
      <c r="E298" s="165">
        <v>0</v>
      </c>
      <c r="F298" s="165">
        <v>0</v>
      </c>
    </row>
    <row r="299" spans="2:6" ht="15.75" thickBot="1" x14ac:dyDescent="0.3">
      <c r="B299" s="65" t="s">
        <v>34</v>
      </c>
      <c r="C299" s="165">
        <v>0</v>
      </c>
      <c r="D299" s="165">
        <v>0</v>
      </c>
      <c r="E299" s="165">
        <v>0</v>
      </c>
      <c r="F299" s="165">
        <v>0</v>
      </c>
    </row>
    <row r="300" spans="2:6" ht="15.75" thickBot="1" x14ac:dyDescent="0.3">
      <c r="B300" s="65" t="s">
        <v>36</v>
      </c>
      <c r="C300" s="165">
        <v>0</v>
      </c>
      <c r="D300" s="165">
        <v>0</v>
      </c>
      <c r="E300" s="165">
        <v>0</v>
      </c>
      <c r="F300" s="165">
        <v>0</v>
      </c>
    </row>
    <row r="301" spans="2:6" ht="15.75" thickBot="1" x14ac:dyDescent="0.3">
      <c r="B301" s="65" t="s">
        <v>38</v>
      </c>
      <c r="C301" s="165">
        <v>3600</v>
      </c>
      <c r="D301" s="165">
        <v>5500</v>
      </c>
      <c r="E301" s="165">
        <v>5500</v>
      </c>
      <c r="F301" s="165">
        <v>5500</v>
      </c>
    </row>
    <row r="302" spans="2:6" ht="15.75" thickBot="1" x14ac:dyDescent="0.3">
      <c r="B302" s="204" t="s">
        <v>71</v>
      </c>
      <c r="C302" s="205">
        <f>C301+C300+C299+C298+C297+C296+C295</f>
        <v>15700</v>
      </c>
      <c r="D302" s="205">
        <f>D301+D300+D299+D298+D297+D296+D295</f>
        <v>19500</v>
      </c>
      <c r="E302" s="205">
        <f>E301+E300+E299+E298+E297+E296+E295</f>
        <v>20500</v>
      </c>
      <c r="F302" s="205">
        <f>F301+F300+F299+F298+F297+F296+F295</f>
        <v>21000</v>
      </c>
    </row>
    <row r="303" spans="2:6" ht="15.75" thickBot="1" x14ac:dyDescent="0.3">
      <c r="B303" s="166" t="s">
        <v>41</v>
      </c>
      <c r="C303" s="167">
        <f>IF(C302-C285=0,0,"Error")</f>
        <v>0</v>
      </c>
      <c r="D303" s="167">
        <f>IF(D302-D285=0,0,"Error")</f>
        <v>0</v>
      </c>
      <c r="E303" s="167">
        <f>IF(E302-E285=0,0,"Error")</f>
        <v>0</v>
      </c>
      <c r="F303" s="167">
        <f>IF(F302-F285=0,0,"Error")</f>
        <v>0</v>
      </c>
    </row>
    <row r="304" spans="2:6" ht="15.75" thickBot="1" x14ac:dyDescent="0.3">
      <c r="B304" s="378"/>
      <c r="C304" s="373"/>
      <c r="D304" s="373"/>
      <c r="E304" s="373"/>
      <c r="F304" s="373"/>
    </row>
    <row r="305" spans="2:12" ht="15.75" thickBot="1" x14ac:dyDescent="0.3">
      <c r="B305" s="989" t="s">
        <v>63</v>
      </c>
      <c r="C305" s="990"/>
      <c r="D305" s="990"/>
      <c r="E305" s="990"/>
      <c r="F305" s="991"/>
    </row>
    <row r="306" spans="2:12" ht="15.75" thickBot="1" x14ac:dyDescent="0.3">
      <c r="B306" s="989" t="s">
        <v>56</v>
      </c>
      <c r="C306" s="990"/>
      <c r="D306" s="990"/>
      <c r="E306" s="990"/>
      <c r="F306" s="991"/>
    </row>
    <row r="307" spans="2:12" ht="15.75" thickBot="1" x14ac:dyDescent="0.3">
      <c r="B307" s="67" t="s">
        <v>746</v>
      </c>
      <c r="C307" s="1009" t="s">
        <v>747</v>
      </c>
      <c r="D307" s="1010"/>
      <c r="E307" s="1010"/>
      <c r="F307" s="1011"/>
    </row>
    <row r="308" spans="2:12" ht="15.75" thickBot="1" x14ac:dyDescent="0.3">
      <c r="B308" s="160" t="s">
        <v>16</v>
      </c>
      <c r="C308" s="992" t="s">
        <v>762</v>
      </c>
      <c r="D308" s="993"/>
      <c r="E308" s="993"/>
      <c r="F308" s="994"/>
    </row>
    <row r="309" spans="2:12" ht="90.75" customHeight="1" thickBot="1" x14ac:dyDescent="0.3">
      <c r="B309" s="62" t="s">
        <v>17</v>
      </c>
      <c r="C309" s="1049" t="s">
        <v>763</v>
      </c>
      <c r="D309" s="1050"/>
      <c r="E309" s="1050"/>
      <c r="F309" s="1051"/>
    </row>
    <row r="310" spans="2:12" ht="15.75" thickBot="1" x14ac:dyDescent="0.3">
      <c r="B310" s="62" t="s">
        <v>18</v>
      </c>
      <c r="C310" s="995" t="s">
        <v>764</v>
      </c>
      <c r="D310" s="996"/>
      <c r="E310" s="996"/>
      <c r="F310" s="997"/>
    </row>
    <row r="311" spans="2:12" ht="12.75" customHeight="1" x14ac:dyDescent="0.25">
      <c r="B311" s="998"/>
      <c r="C311" s="63">
        <v>2018</v>
      </c>
      <c r="D311" s="63">
        <v>2019</v>
      </c>
      <c r="E311" s="63">
        <v>2020</v>
      </c>
      <c r="F311" s="63">
        <v>2021</v>
      </c>
    </row>
    <row r="312" spans="2:12" ht="20.25" customHeight="1" thickBot="1" x14ac:dyDescent="0.3">
      <c r="B312" s="999"/>
      <c r="C312" s="64" t="s">
        <v>10</v>
      </c>
      <c r="D312" s="64" t="s">
        <v>11</v>
      </c>
      <c r="E312" s="64" t="s">
        <v>11</v>
      </c>
      <c r="F312" s="64" t="s">
        <v>11</v>
      </c>
    </row>
    <row r="313" spans="2:12" ht="15.75" thickBot="1" x14ac:dyDescent="0.3">
      <c r="B313" s="62" t="s">
        <v>19</v>
      </c>
      <c r="C313" s="161">
        <v>28</v>
      </c>
      <c r="D313" s="203">
        <v>30</v>
      </c>
      <c r="E313" s="203">
        <v>30</v>
      </c>
      <c r="F313" s="203">
        <v>30</v>
      </c>
    </row>
    <row r="314" spans="2:12" ht="15.75" thickBot="1" x14ac:dyDescent="0.3">
      <c r="B314" s="62" t="s">
        <v>20</v>
      </c>
      <c r="C314" s="161">
        <v>300</v>
      </c>
      <c r="D314" s="161">
        <v>300</v>
      </c>
      <c r="E314" s="161">
        <v>400</v>
      </c>
      <c r="F314" s="161">
        <v>400</v>
      </c>
    </row>
    <row r="315" spans="2:12" ht="15.75" thickBot="1" x14ac:dyDescent="0.3">
      <c r="B315" s="62" t="s">
        <v>21</v>
      </c>
      <c r="C315" s="161">
        <f>C314/C313</f>
        <v>10.714285714285714</v>
      </c>
      <c r="D315" s="161">
        <f t="shared" ref="D315:F315" si="25">D314/D313</f>
        <v>10</v>
      </c>
      <c r="E315" s="161">
        <f t="shared" si="25"/>
        <v>13.333333333333334</v>
      </c>
      <c r="F315" s="161">
        <f t="shared" si="25"/>
        <v>13.333333333333334</v>
      </c>
    </row>
    <row r="316" spans="2:12" ht="15.75" thickBot="1" x14ac:dyDescent="0.3">
      <c r="B316" s="62" t="s">
        <v>22</v>
      </c>
      <c r="C316" s="145" t="s">
        <v>23</v>
      </c>
      <c r="D316" s="162">
        <f>D313/C313-1</f>
        <v>7.1428571428571397E-2</v>
      </c>
      <c r="E316" s="162">
        <f t="shared" ref="E316:F318" si="26">E313/D313-1</f>
        <v>0</v>
      </c>
      <c r="F316" s="162">
        <f t="shared" si="26"/>
        <v>0</v>
      </c>
      <c r="H316" s="163"/>
      <c r="I316" s="163"/>
      <c r="J316" s="163"/>
      <c r="K316" s="163"/>
      <c r="L316" s="163"/>
    </row>
    <row r="317" spans="2:12" ht="15.75" thickBot="1" x14ac:dyDescent="0.3">
      <c r="B317" s="62" t="s">
        <v>24</v>
      </c>
      <c r="C317" s="145" t="s">
        <v>23</v>
      </c>
      <c r="D317" s="162">
        <f>D314/C314-1</f>
        <v>0</v>
      </c>
      <c r="E317" s="162">
        <f t="shared" si="26"/>
        <v>0.33333333333333326</v>
      </c>
      <c r="F317" s="162">
        <f t="shared" si="26"/>
        <v>0</v>
      </c>
    </row>
    <row r="318" spans="2:12" ht="15.75" thickBot="1" x14ac:dyDescent="0.3">
      <c r="B318" s="62" t="s">
        <v>25</v>
      </c>
      <c r="C318" s="145" t="s">
        <v>23</v>
      </c>
      <c r="D318" s="162">
        <f>D315/C315-1</f>
        <v>-6.6666666666666652E-2</v>
      </c>
      <c r="E318" s="162">
        <f t="shared" si="26"/>
        <v>0.33333333333333348</v>
      </c>
      <c r="F318" s="162">
        <f t="shared" si="26"/>
        <v>0</v>
      </c>
    </row>
    <row r="319" spans="2:12" ht="15.75" thickBot="1" x14ac:dyDescent="0.3">
      <c r="B319" s="1000" t="s">
        <v>784</v>
      </c>
      <c r="C319" s="1001"/>
      <c r="D319" s="1001"/>
      <c r="E319" s="1001"/>
      <c r="F319" s="1002"/>
    </row>
    <row r="320" spans="2:12" ht="12.75" customHeight="1" x14ac:dyDescent="0.25">
      <c r="B320" s="998"/>
      <c r="C320" s="63">
        <v>2018</v>
      </c>
      <c r="D320" s="63">
        <v>2019</v>
      </c>
      <c r="E320" s="63">
        <v>2020</v>
      </c>
      <c r="F320" s="63">
        <v>2021</v>
      </c>
    </row>
    <row r="321" spans="2:11" ht="21" customHeight="1" thickBot="1" x14ac:dyDescent="0.3">
      <c r="B321" s="999"/>
      <c r="C321" s="64" t="s">
        <v>10</v>
      </c>
      <c r="D321" s="64" t="s">
        <v>11</v>
      </c>
      <c r="E321" s="64" t="s">
        <v>11</v>
      </c>
      <c r="F321" s="64" t="s">
        <v>11</v>
      </c>
    </row>
    <row r="322" spans="2:11" ht="15.75" thickBot="1" x14ac:dyDescent="0.3">
      <c r="B322" s="65" t="s">
        <v>58</v>
      </c>
      <c r="C322" s="165">
        <v>0</v>
      </c>
      <c r="D322" s="165">
        <v>0</v>
      </c>
      <c r="E322" s="165">
        <v>0</v>
      </c>
      <c r="F322" s="165">
        <v>0</v>
      </c>
    </row>
    <row r="323" spans="2:11" ht="15.75" thickBot="1" x14ac:dyDescent="0.3">
      <c r="B323" s="65" t="s">
        <v>59</v>
      </c>
      <c r="C323" s="165">
        <v>300</v>
      </c>
      <c r="D323" s="164">
        <v>300</v>
      </c>
      <c r="E323" s="161">
        <v>400</v>
      </c>
      <c r="F323" s="161">
        <v>400</v>
      </c>
    </row>
    <row r="324" spans="2:11" ht="15.75" thickBot="1" x14ac:dyDescent="0.3">
      <c r="B324" s="66" t="s">
        <v>40</v>
      </c>
      <c r="C324" s="165">
        <f>C323+C322</f>
        <v>300</v>
      </c>
      <c r="D324" s="165">
        <f t="shared" ref="D324:F324" si="27">D323+D322</f>
        <v>300</v>
      </c>
      <c r="E324" s="165">
        <f t="shared" si="27"/>
        <v>400</v>
      </c>
      <c r="F324" s="165">
        <f t="shared" si="27"/>
        <v>400</v>
      </c>
    </row>
    <row r="325" spans="2:11" ht="15.75" thickBot="1" x14ac:dyDescent="0.3">
      <c r="B325" s="199"/>
      <c r="C325" s="200"/>
      <c r="D325" s="200"/>
      <c r="E325" s="200"/>
      <c r="F325" s="201"/>
    </row>
    <row r="326" spans="2:11" ht="24.75" customHeight="1" thickBot="1" x14ac:dyDescent="0.3">
      <c r="B326" s="158" t="s">
        <v>80</v>
      </c>
      <c r="C326" s="1052" t="s">
        <v>765</v>
      </c>
      <c r="D326" s="1053"/>
      <c r="E326" s="1053"/>
      <c r="F326" s="1054"/>
    </row>
    <row r="327" spans="2:11" ht="23.25" customHeight="1" thickBot="1" x14ac:dyDescent="0.3">
      <c r="B327" s="983" t="s">
        <v>599</v>
      </c>
      <c r="C327" s="984"/>
      <c r="D327" s="984"/>
      <c r="E327" s="984"/>
      <c r="F327" s="985"/>
      <c r="I327" s="159"/>
      <c r="K327" s="159"/>
    </row>
    <row r="328" spans="2:11" ht="45.75" thickBot="1" x14ac:dyDescent="0.3">
      <c r="B328" s="146" t="s">
        <v>766</v>
      </c>
      <c r="C328" s="157" t="s">
        <v>116</v>
      </c>
      <c r="D328" s="157" t="s">
        <v>117</v>
      </c>
      <c r="E328" s="157" t="s">
        <v>117</v>
      </c>
      <c r="F328" s="157" t="s">
        <v>117</v>
      </c>
    </row>
    <row r="329" spans="2:11" ht="30.75" thickBot="1" x14ac:dyDescent="0.3">
      <c r="B329" s="62" t="s">
        <v>767</v>
      </c>
      <c r="C329" s="157" t="s">
        <v>116</v>
      </c>
      <c r="D329" s="157" t="s">
        <v>117</v>
      </c>
      <c r="E329" s="157" t="s">
        <v>117</v>
      </c>
      <c r="F329" s="157" t="s">
        <v>117</v>
      </c>
    </row>
    <row r="330" spans="2:11" ht="45.75" thickBot="1" x14ac:dyDescent="0.3">
      <c r="B330" s="62" t="s">
        <v>768</v>
      </c>
      <c r="C330" s="157" t="s">
        <v>116</v>
      </c>
      <c r="D330" s="157" t="s">
        <v>117</v>
      </c>
      <c r="E330" s="157" t="s">
        <v>117</v>
      </c>
      <c r="F330" s="157" t="s">
        <v>117</v>
      </c>
    </row>
    <row r="331" spans="2:11" ht="15.75" thickBot="1" x14ac:dyDescent="0.3">
      <c r="B331" s="989" t="s">
        <v>14</v>
      </c>
      <c r="C331" s="990"/>
      <c r="D331" s="990"/>
      <c r="E331" s="990"/>
      <c r="F331" s="991"/>
    </row>
    <row r="332" spans="2:11" ht="15.75" thickBot="1" x14ac:dyDescent="0.3">
      <c r="B332" s="989" t="s">
        <v>104</v>
      </c>
      <c r="C332" s="990"/>
      <c r="D332" s="990"/>
      <c r="E332" s="990"/>
      <c r="F332" s="991"/>
    </row>
    <row r="333" spans="2:11" ht="15.75" customHeight="1" thickBot="1" x14ac:dyDescent="0.3">
      <c r="B333" s="160" t="s">
        <v>105</v>
      </c>
      <c r="C333" s="992" t="s">
        <v>769</v>
      </c>
      <c r="D333" s="993"/>
      <c r="E333" s="993"/>
      <c r="F333" s="994"/>
    </row>
    <row r="334" spans="2:11" ht="60" customHeight="1" thickBot="1" x14ac:dyDescent="0.3">
      <c r="B334" s="62" t="s">
        <v>17</v>
      </c>
      <c r="C334" s="1049" t="s">
        <v>770</v>
      </c>
      <c r="D334" s="1050"/>
      <c r="E334" s="1050"/>
      <c r="F334" s="1051"/>
    </row>
    <row r="335" spans="2:11" ht="15.75" thickBot="1" x14ac:dyDescent="0.3">
      <c r="B335" s="62" t="s">
        <v>18</v>
      </c>
      <c r="C335" s="995" t="s">
        <v>771</v>
      </c>
      <c r="D335" s="996"/>
      <c r="E335" s="996"/>
      <c r="F335" s="997"/>
    </row>
    <row r="336" spans="2:11" ht="12.75" customHeight="1" x14ac:dyDescent="0.25">
      <c r="B336" s="998"/>
      <c r="C336" s="63">
        <v>2018</v>
      </c>
      <c r="D336" s="63">
        <v>2019</v>
      </c>
      <c r="E336" s="63">
        <v>2020</v>
      </c>
      <c r="F336" s="63">
        <v>2021</v>
      </c>
    </row>
    <row r="337" spans="2:12" ht="18.75" customHeight="1" thickBot="1" x14ac:dyDescent="0.3">
      <c r="B337" s="999"/>
      <c r="C337" s="64" t="s">
        <v>10</v>
      </c>
      <c r="D337" s="64" t="s">
        <v>11</v>
      </c>
      <c r="E337" s="64" t="s">
        <v>11</v>
      </c>
      <c r="F337" s="64" t="s">
        <v>11</v>
      </c>
    </row>
    <row r="338" spans="2:12" ht="15.75" thickBot="1" x14ac:dyDescent="0.3">
      <c r="B338" s="62" t="s">
        <v>19</v>
      </c>
      <c r="C338" s="161">
        <v>25</v>
      </c>
      <c r="D338" s="161">
        <v>25</v>
      </c>
      <c r="E338" s="161">
        <v>25</v>
      </c>
      <c r="F338" s="161">
        <v>25</v>
      </c>
    </row>
    <row r="339" spans="2:12" ht="15.75" thickBot="1" x14ac:dyDescent="0.3">
      <c r="B339" s="62" t="s">
        <v>20</v>
      </c>
      <c r="C339" s="161">
        <v>11800</v>
      </c>
      <c r="D339" s="161">
        <v>10950</v>
      </c>
      <c r="E339" s="161">
        <v>10950</v>
      </c>
      <c r="F339" s="161">
        <v>10950</v>
      </c>
    </row>
    <row r="340" spans="2:12" ht="15.75" thickBot="1" x14ac:dyDescent="0.3">
      <c r="B340" s="62" t="s">
        <v>21</v>
      </c>
      <c r="C340" s="161">
        <f>C339/C338</f>
        <v>472</v>
      </c>
      <c r="D340" s="161">
        <f t="shared" ref="D340:F340" si="28">D339/D338</f>
        <v>438</v>
      </c>
      <c r="E340" s="161">
        <f t="shared" si="28"/>
        <v>438</v>
      </c>
      <c r="F340" s="161">
        <f t="shared" si="28"/>
        <v>438</v>
      </c>
    </row>
    <row r="341" spans="2:12" ht="15.75" thickBot="1" x14ac:dyDescent="0.3">
      <c r="B341" s="62" t="s">
        <v>22</v>
      </c>
      <c r="C341" s="145" t="s">
        <v>23</v>
      </c>
      <c r="D341" s="162">
        <f>D338/C338-1</f>
        <v>0</v>
      </c>
      <c r="E341" s="162">
        <f t="shared" ref="E341:F343" si="29">E338/D338-1</f>
        <v>0</v>
      </c>
      <c r="F341" s="162">
        <f t="shared" si="29"/>
        <v>0</v>
      </c>
      <c r="H341" s="163"/>
      <c r="I341" s="163"/>
      <c r="J341" s="163"/>
      <c r="K341" s="163"/>
      <c r="L341" s="163"/>
    </row>
    <row r="342" spans="2:12" ht="15.75" thickBot="1" x14ac:dyDescent="0.3">
      <c r="B342" s="62" t="s">
        <v>24</v>
      </c>
      <c r="C342" s="145" t="s">
        <v>23</v>
      </c>
      <c r="D342" s="162">
        <f>D339/C339-1</f>
        <v>-7.2033898305084776E-2</v>
      </c>
      <c r="E342" s="162">
        <f t="shared" si="29"/>
        <v>0</v>
      </c>
      <c r="F342" s="162">
        <f t="shared" si="29"/>
        <v>0</v>
      </c>
    </row>
    <row r="343" spans="2:12" ht="15.75" thickBot="1" x14ac:dyDescent="0.3">
      <c r="B343" s="62" t="s">
        <v>25</v>
      </c>
      <c r="C343" s="145" t="s">
        <v>23</v>
      </c>
      <c r="D343" s="162">
        <f>D340/C340-1</f>
        <v>-7.2033898305084776E-2</v>
      </c>
      <c r="E343" s="162">
        <f t="shared" si="29"/>
        <v>0</v>
      </c>
      <c r="F343" s="162">
        <f t="shared" si="29"/>
        <v>0</v>
      </c>
    </row>
    <row r="344" spans="2:12" ht="15.75" thickBot="1" x14ac:dyDescent="0.3">
      <c r="B344" s="1000" t="s">
        <v>784</v>
      </c>
      <c r="C344" s="1001"/>
      <c r="D344" s="1001"/>
      <c r="E344" s="1001"/>
      <c r="F344" s="1002"/>
    </row>
    <row r="345" spans="2:12" ht="12.75" customHeight="1" x14ac:dyDescent="0.25">
      <c r="B345" s="998"/>
      <c r="C345" s="63">
        <v>2018</v>
      </c>
      <c r="D345" s="63">
        <v>2019</v>
      </c>
      <c r="E345" s="63">
        <v>2020</v>
      </c>
      <c r="F345" s="63">
        <v>2021</v>
      </c>
    </row>
    <row r="346" spans="2:12" ht="24" customHeight="1" thickBot="1" x14ac:dyDescent="0.3">
      <c r="B346" s="999"/>
      <c r="C346" s="64" t="s">
        <v>10</v>
      </c>
      <c r="D346" s="64" t="s">
        <v>11</v>
      </c>
      <c r="E346" s="64" t="s">
        <v>11</v>
      </c>
      <c r="F346" s="64" t="s">
        <v>11</v>
      </c>
    </row>
    <row r="347" spans="2:12" ht="15.75" thickBot="1" x14ac:dyDescent="0.3">
      <c r="B347" s="65" t="s">
        <v>26</v>
      </c>
      <c r="C347" s="164">
        <v>3000</v>
      </c>
      <c r="D347" s="164">
        <v>3000</v>
      </c>
      <c r="E347" s="164">
        <v>3000</v>
      </c>
      <c r="F347" s="164">
        <v>3000</v>
      </c>
    </row>
    <row r="348" spans="2:12" ht="15.75" thickBot="1" x14ac:dyDescent="0.3">
      <c r="B348" s="65" t="s">
        <v>28</v>
      </c>
      <c r="C348" s="164">
        <v>800</v>
      </c>
      <c r="D348" s="164">
        <v>800</v>
      </c>
      <c r="E348" s="164">
        <v>800</v>
      </c>
      <c r="F348" s="164">
        <v>800</v>
      </c>
    </row>
    <row r="349" spans="2:12" ht="15.75" thickBot="1" x14ac:dyDescent="0.3">
      <c r="B349" s="65" t="s">
        <v>30</v>
      </c>
      <c r="C349" s="165">
        <v>4400</v>
      </c>
      <c r="D349" s="165">
        <v>4050</v>
      </c>
      <c r="E349" s="165">
        <v>4050</v>
      </c>
      <c r="F349" s="165">
        <v>4050</v>
      </c>
    </row>
    <row r="350" spans="2:12" ht="15.75" thickBot="1" x14ac:dyDescent="0.3">
      <c r="B350" s="65" t="s">
        <v>32</v>
      </c>
      <c r="C350" s="165">
        <v>0</v>
      </c>
      <c r="D350" s="165">
        <v>0</v>
      </c>
      <c r="E350" s="165">
        <v>0</v>
      </c>
      <c r="F350" s="165">
        <v>0</v>
      </c>
    </row>
    <row r="351" spans="2:12" ht="15.75" thickBot="1" x14ac:dyDescent="0.3">
      <c r="B351" s="65" t="s">
        <v>34</v>
      </c>
      <c r="C351" s="165">
        <v>0</v>
      </c>
      <c r="D351" s="165">
        <v>0</v>
      </c>
      <c r="E351" s="165">
        <v>0</v>
      </c>
      <c r="F351" s="165">
        <v>0</v>
      </c>
    </row>
    <row r="352" spans="2:12" ht="15.75" thickBot="1" x14ac:dyDescent="0.3">
      <c r="B352" s="65" t="s">
        <v>36</v>
      </c>
      <c r="C352" s="165">
        <v>0</v>
      </c>
      <c r="D352" s="165">
        <v>0</v>
      </c>
      <c r="E352" s="165">
        <v>0</v>
      </c>
      <c r="F352" s="165">
        <v>0</v>
      </c>
    </row>
    <row r="353" spans="2:6" ht="15.75" thickBot="1" x14ac:dyDescent="0.3">
      <c r="B353" s="65" t="s">
        <v>38</v>
      </c>
      <c r="C353" s="165">
        <v>3600</v>
      </c>
      <c r="D353" s="165">
        <v>3100</v>
      </c>
      <c r="E353" s="165">
        <v>3100</v>
      </c>
      <c r="F353" s="165">
        <v>3100</v>
      </c>
    </row>
    <row r="354" spans="2:6" ht="15.75" thickBot="1" x14ac:dyDescent="0.3">
      <c r="B354" s="66" t="s">
        <v>40</v>
      </c>
      <c r="C354" s="205">
        <f>C353+C352+C351+C350+C349+C348+C347</f>
        <v>11800</v>
      </c>
      <c r="D354" s="205">
        <f>D353+D352+D351+D350+D349+D348+D347</f>
        <v>10950</v>
      </c>
      <c r="E354" s="205">
        <f>E353+E352+E351+E350+E349+E348+E347</f>
        <v>10950</v>
      </c>
      <c r="F354" s="205">
        <f>F353+F352+F351+F350+F349+F348+F347</f>
        <v>10950</v>
      </c>
    </row>
    <row r="355" spans="2:6" ht="15.75" thickBot="1" x14ac:dyDescent="0.3">
      <c r="B355" s="166" t="s">
        <v>41</v>
      </c>
      <c r="C355" s="167">
        <f>IF(C354-C339=0,0,"Error")</f>
        <v>0</v>
      </c>
      <c r="D355" s="167">
        <f>IF(D354-D339=0,0,"Error")</f>
        <v>0</v>
      </c>
      <c r="E355" s="167">
        <f>IF(E354-E339=0,0,"Error")</f>
        <v>0</v>
      </c>
      <c r="F355" s="167">
        <f>IF(F354-F339=0,0,"Error")</f>
        <v>0</v>
      </c>
    </row>
    <row r="356" spans="2:6" ht="15.75" thickBot="1" x14ac:dyDescent="0.3">
      <c r="B356" s="381"/>
      <c r="C356" s="382"/>
      <c r="D356" s="382"/>
      <c r="E356" s="382"/>
      <c r="F356" s="383"/>
    </row>
    <row r="357" spans="2:6" ht="23.25" customHeight="1" thickBot="1" x14ac:dyDescent="0.3">
      <c r="B357" s="218" t="s">
        <v>42</v>
      </c>
      <c r="C357" s="992" t="s">
        <v>772</v>
      </c>
      <c r="D357" s="993"/>
      <c r="E357" s="993"/>
      <c r="F357" s="994"/>
    </row>
    <row r="358" spans="2:6" ht="15.75" customHeight="1" thickBot="1" x14ac:dyDescent="0.3">
      <c r="B358" s="62" t="s">
        <v>17</v>
      </c>
      <c r="C358" s="983" t="s">
        <v>773</v>
      </c>
      <c r="D358" s="984"/>
      <c r="E358" s="984"/>
      <c r="F358" s="985"/>
    </row>
    <row r="359" spans="2:6" ht="15.75" customHeight="1" thickBot="1" x14ac:dyDescent="0.3">
      <c r="B359" s="62" t="s">
        <v>18</v>
      </c>
      <c r="C359" s="995" t="s">
        <v>774</v>
      </c>
      <c r="D359" s="996"/>
      <c r="E359" s="996"/>
      <c r="F359" s="997"/>
    </row>
    <row r="360" spans="2:6" x14ac:dyDescent="0.25">
      <c r="B360" s="998"/>
      <c r="C360" s="63">
        <v>2018</v>
      </c>
      <c r="D360" s="63">
        <v>2019</v>
      </c>
      <c r="E360" s="63">
        <v>2020</v>
      </c>
      <c r="F360" s="63">
        <v>2021</v>
      </c>
    </row>
    <row r="361" spans="2:6" ht="12.75" customHeight="1" thickBot="1" x14ac:dyDescent="0.3">
      <c r="B361" s="999"/>
      <c r="C361" s="64" t="s">
        <v>10</v>
      </c>
      <c r="D361" s="64" t="s">
        <v>11</v>
      </c>
      <c r="E361" s="64" t="s">
        <v>11</v>
      </c>
      <c r="F361" s="64" t="s">
        <v>11</v>
      </c>
    </row>
    <row r="362" spans="2:6" ht="25.5" customHeight="1" thickBot="1" x14ac:dyDescent="0.3">
      <c r="B362" s="62" t="s">
        <v>19</v>
      </c>
      <c r="C362" s="161">
        <v>4</v>
      </c>
      <c r="D362" s="161">
        <v>4</v>
      </c>
      <c r="E362" s="161">
        <v>4</v>
      </c>
      <c r="F362" s="161">
        <v>4</v>
      </c>
    </row>
    <row r="363" spans="2:6" ht="15.75" thickBot="1" x14ac:dyDescent="0.3">
      <c r="B363" s="62" t="s">
        <v>20</v>
      </c>
      <c r="C363" s="161">
        <v>7900</v>
      </c>
      <c r="D363" s="161">
        <v>7650</v>
      </c>
      <c r="E363" s="161">
        <v>7650</v>
      </c>
      <c r="F363" s="161">
        <v>7650</v>
      </c>
    </row>
    <row r="364" spans="2:6" ht="15.75" thickBot="1" x14ac:dyDescent="0.3">
      <c r="B364" s="62" t="s">
        <v>21</v>
      </c>
      <c r="C364" s="161">
        <f>C363/C360</f>
        <v>3.9147670961347871</v>
      </c>
      <c r="D364" s="161">
        <f>D363/D360</f>
        <v>3.789004457652303</v>
      </c>
      <c r="E364" s="161">
        <f>E363/E360</f>
        <v>3.7871287128712869</v>
      </c>
      <c r="F364" s="161">
        <f>F363/F360</f>
        <v>3.785254824344384</v>
      </c>
    </row>
    <row r="365" spans="2:6" ht="15.75" thickBot="1" x14ac:dyDescent="0.3">
      <c r="B365" s="62" t="s">
        <v>22</v>
      </c>
      <c r="C365" s="145"/>
      <c r="D365" s="162">
        <f>D360/C360-1</f>
        <v>4.9554013875119374E-4</v>
      </c>
      <c r="E365" s="162">
        <f>E360/D360-1</f>
        <v>4.9529470034670453E-4</v>
      </c>
      <c r="F365" s="162">
        <f>F360/E360-1</f>
        <v>4.9504950495049549E-4</v>
      </c>
    </row>
    <row r="366" spans="2:6" ht="15.75" thickBot="1" x14ac:dyDescent="0.3">
      <c r="B366" s="62" t="s">
        <v>24</v>
      </c>
      <c r="C366" s="145"/>
      <c r="D366" s="162">
        <f>D363/C363-1</f>
        <v>-3.1645569620253111E-2</v>
      </c>
      <c r="E366" s="162">
        <f t="shared" ref="E366:F367" si="30">E363/D363-1</f>
        <v>0</v>
      </c>
      <c r="F366" s="162">
        <f t="shared" si="30"/>
        <v>0</v>
      </c>
    </row>
    <row r="367" spans="2:6" ht="15.75" thickBot="1" x14ac:dyDescent="0.3">
      <c r="B367" s="62" t="s">
        <v>25</v>
      </c>
      <c r="C367" s="145"/>
      <c r="D367" s="162">
        <f>D364/C364-1</f>
        <v>-3.2125190437677587E-2</v>
      </c>
      <c r="E367" s="162">
        <f t="shared" si="30"/>
        <v>-4.9504950495049549E-4</v>
      </c>
      <c r="F367" s="162">
        <f t="shared" si="30"/>
        <v>-4.9480455220185515E-4</v>
      </c>
    </row>
    <row r="368" spans="2:6" ht="24.75" customHeight="1" thickBot="1" x14ac:dyDescent="0.3">
      <c r="B368" s="1000" t="s">
        <v>796</v>
      </c>
      <c r="C368" s="1001"/>
      <c r="D368" s="1001"/>
      <c r="E368" s="1001"/>
      <c r="F368" s="1002"/>
    </row>
    <row r="369" spans="2:6" ht="12.75" customHeight="1" x14ac:dyDescent="0.25">
      <c r="B369" s="998"/>
      <c r="C369" s="63">
        <v>2018</v>
      </c>
      <c r="D369" s="63">
        <v>2019</v>
      </c>
      <c r="E369" s="63">
        <v>2020</v>
      </c>
      <c r="F369" s="63">
        <v>2021</v>
      </c>
    </row>
    <row r="370" spans="2:6" ht="29.25" customHeight="1" thickBot="1" x14ac:dyDescent="0.3">
      <c r="B370" s="999"/>
      <c r="C370" s="64" t="s">
        <v>10</v>
      </c>
      <c r="D370" s="64" t="s">
        <v>11</v>
      </c>
      <c r="E370" s="64" t="s">
        <v>11</v>
      </c>
      <c r="F370" s="64" t="s">
        <v>11</v>
      </c>
    </row>
    <row r="371" spans="2:6" ht="24.75" customHeight="1" thickBot="1" x14ac:dyDescent="0.3">
      <c r="B371" s="65" t="s">
        <v>26</v>
      </c>
      <c r="C371" s="164">
        <v>2500</v>
      </c>
      <c r="D371" s="164">
        <v>2600</v>
      </c>
      <c r="E371" s="164">
        <v>2600</v>
      </c>
      <c r="F371" s="164">
        <v>2600</v>
      </c>
    </row>
    <row r="372" spans="2:6" ht="24.75" customHeight="1" thickBot="1" x14ac:dyDescent="0.3">
      <c r="B372" s="65" t="s">
        <v>28</v>
      </c>
      <c r="C372" s="164">
        <v>400</v>
      </c>
      <c r="D372" s="164">
        <v>450</v>
      </c>
      <c r="E372" s="164">
        <v>450</v>
      </c>
      <c r="F372" s="164">
        <v>450</v>
      </c>
    </row>
    <row r="373" spans="2:6" ht="24.75" customHeight="1" thickBot="1" x14ac:dyDescent="0.3">
      <c r="B373" s="65" t="s">
        <v>30</v>
      </c>
      <c r="C373" s="165">
        <v>2350</v>
      </c>
      <c r="D373" s="165">
        <v>2300</v>
      </c>
      <c r="E373" s="165">
        <v>2300</v>
      </c>
      <c r="F373" s="165">
        <v>2300</v>
      </c>
    </row>
    <row r="374" spans="2:6" ht="15.75" thickBot="1" x14ac:dyDescent="0.3">
      <c r="B374" s="65" t="s">
        <v>32</v>
      </c>
      <c r="C374" s="165">
        <v>0</v>
      </c>
      <c r="D374" s="165">
        <v>0</v>
      </c>
      <c r="E374" s="165">
        <v>0</v>
      </c>
      <c r="F374" s="165">
        <v>0</v>
      </c>
    </row>
    <row r="375" spans="2:6" ht="15.75" thickBot="1" x14ac:dyDescent="0.3">
      <c r="B375" s="65" t="s">
        <v>34</v>
      </c>
      <c r="C375" s="165">
        <v>300</v>
      </c>
      <c r="D375" s="165">
        <v>300</v>
      </c>
      <c r="E375" s="165">
        <v>300</v>
      </c>
      <c r="F375" s="165">
        <v>300</v>
      </c>
    </row>
    <row r="376" spans="2:6" ht="15.75" thickBot="1" x14ac:dyDescent="0.3">
      <c r="B376" s="65" t="s">
        <v>36</v>
      </c>
      <c r="C376" s="165">
        <v>0</v>
      </c>
      <c r="D376" s="165">
        <v>0</v>
      </c>
      <c r="E376" s="165">
        <v>0</v>
      </c>
      <c r="F376" s="165">
        <v>0</v>
      </c>
    </row>
    <row r="377" spans="2:6" ht="15.75" thickBot="1" x14ac:dyDescent="0.3">
      <c r="B377" s="65" t="s">
        <v>38</v>
      </c>
      <c r="C377" s="165">
        <v>2350</v>
      </c>
      <c r="D377" s="165">
        <v>2000</v>
      </c>
      <c r="E377" s="165">
        <v>2000</v>
      </c>
      <c r="F377" s="165">
        <v>2000</v>
      </c>
    </row>
    <row r="378" spans="2:6" ht="15.75" thickBot="1" x14ac:dyDescent="0.3">
      <c r="B378" s="196" t="s">
        <v>43</v>
      </c>
      <c r="C378" s="205">
        <f>C377+C376+C375+C374+C373+C372+C371</f>
        <v>7900</v>
      </c>
      <c r="D378" s="205">
        <f>D377+D376+D375+D374+D373+D372+D371</f>
        <v>7650</v>
      </c>
      <c r="E378" s="205">
        <f>E377+E376+E375+E374+E373+E372+E371</f>
        <v>7650</v>
      </c>
      <c r="F378" s="205">
        <f>F377+F376+F375+F374+F373+F372+F371</f>
        <v>7650</v>
      </c>
    </row>
    <row r="379" spans="2:6" ht="17.25" customHeight="1" thickBot="1" x14ac:dyDescent="0.3">
      <c r="B379" s="166" t="s">
        <v>41</v>
      </c>
      <c r="C379" s="167">
        <f>IF(C378-C363=0,0,"Error")</f>
        <v>0</v>
      </c>
      <c r="D379" s="167">
        <f>IF(D378-D363=0,0,"Error")</f>
        <v>0</v>
      </c>
      <c r="E379" s="167">
        <f>IF(E378-E363=0,0,"Error")</f>
        <v>0</v>
      </c>
      <c r="F379" s="167">
        <f>IF(F378-F363=0,0,"Error")</f>
        <v>0</v>
      </c>
    </row>
    <row r="380" spans="2:6" ht="17.25" customHeight="1" thickBot="1" x14ac:dyDescent="0.3">
      <c r="B380" s="371"/>
      <c r="C380" s="372"/>
      <c r="D380" s="372"/>
      <c r="E380" s="372"/>
      <c r="F380" s="373"/>
    </row>
    <row r="381" spans="2:6" ht="15.75" thickBot="1" x14ac:dyDescent="0.3">
      <c r="B381" s="989" t="s">
        <v>63</v>
      </c>
      <c r="C381" s="990"/>
      <c r="D381" s="990"/>
      <c r="E381" s="990"/>
      <c r="F381" s="991"/>
    </row>
    <row r="382" spans="2:6" ht="15.75" thickBot="1" x14ac:dyDescent="0.3">
      <c r="B382" s="989" t="s">
        <v>56</v>
      </c>
      <c r="C382" s="990"/>
      <c r="D382" s="990"/>
      <c r="E382" s="990"/>
      <c r="F382" s="991"/>
    </row>
    <row r="383" spans="2:6" ht="15.75" thickBot="1" x14ac:dyDescent="0.3">
      <c r="B383" s="67" t="s">
        <v>737</v>
      </c>
      <c r="C383" s="1009" t="s">
        <v>738</v>
      </c>
      <c r="D383" s="1010"/>
      <c r="E383" s="1010"/>
      <c r="F383" s="1011"/>
    </row>
    <row r="384" spans="2:6" ht="30.75" customHeight="1" thickBot="1" x14ac:dyDescent="0.3">
      <c r="B384" s="160" t="s">
        <v>16</v>
      </c>
      <c r="C384" s="992" t="s">
        <v>769</v>
      </c>
      <c r="D384" s="993"/>
      <c r="E384" s="993"/>
      <c r="F384" s="994"/>
    </row>
    <row r="385" spans="2:12" ht="54.75" customHeight="1" thickBot="1" x14ac:dyDescent="0.3">
      <c r="B385" s="62" t="s">
        <v>17</v>
      </c>
      <c r="C385" s="1049" t="s">
        <v>770</v>
      </c>
      <c r="D385" s="1050"/>
      <c r="E385" s="1050"/>
      <c r="F385" s="1051"/>
    </row>
    <row r="386" spans="2:12" ht="15.75" customHeight="1" thickBot="1" x14ac:dyDescent="0.3">
      <c r="B386" s="62" t="s">
        <v>18</v>
      </c>
      <c r="C386" s="995" t="s">
        <v>771</v>
      </c>
      <c r="D386" s="996"/>
      <c r="E386" s="996"/>
      <c r="F386" s="997"/>
    </row>
    <row r="387" spans="2:12" ht="12.75" customHeight="1" x14ac:dyDescent="0.25">
      <c r="B387" s="998"/>
      <c r="C387" s="63">
        <v>2018</v>
      </c>
      <c r="D387" s="63">
        <v>2019</v>
      </c>
      <c r="E387" s="63">
        <v>2020</v>
      </c>
      <c r="F387" s="63">
        <v>2021</v>
      </c>
    </row>
    <row r="388" spans="2:12" ht="24.75" customHeight="1" thickBot="1" x14ac:dyDescent="0.3">
      <c r="B388" s="999"/>
      <c r="C388" s="64" t="s">
        <v>10</v>
      </c>
      <c r="D388" s="64" t="s">
        <v>11</v>
      </c>
      <c r="E388" s="64" t="s">
        <v>11</v>
      </c>
      <c r="F388" s="64" t="s">
        <v>11</v>
      </c>
    </row>
    <row r="389" spans="2:12" ht="15.75" thickBot="1" x14ac:dyDescent="0.3">
      <c r="B389" s="62" t="s">
        <v>19</v>
      </c>
      <c r="C389" s="161">
        <v>25</v>
      </c>
      <c r="D389" s="161">
        <v>25</v>
      </c>
      <c r="E389" s="161">
        <v>25</v>
      </c>
      <c r="F389" s="161">
        <v>25</v>
      </c>
    </row>
    <row r="390" spans="2:12" ht="15.75" thickBot="1" x14ac:dyDescent="0.3">
      <c r="B390" s="62" t="s">
        <v>20</v>
      </c>
      <c r="C390" s="161">
        <v>200</v>
      </c>
      <c r="D390" s="161">
        <v>100</v>
      </c>
      <c r="E390" s="161">
        <v>200</v>
      </c>
      <c r="F390" s="161">
        <v>200</v>
      </c>
    </row>
    <row r="391" spans="2:12" ht="15.75" thickBot="1" x14ac:dyDescent="0.3">
      <c r="B391" s="62" t="s">
        <v>21</v>
      </c>
      <c r="C391" s="161">
        <f>C390/C389</f>
        <v>8</v>
      </c>
      <c r="D391" s="161">
        <f t="shared" ref="D391:F391" si="31">D390/D389</f>
        <v>4</v>
      </c>
      <c r="E391" s="161">
        <f t="shared" si="31"/>
        <v>8</v>
      </c>
      <c r="F391" s="161">
        <f t="shared" si="31"/>
        <v>8</v>
      </c>
    </row>
    <row r="392" spans="2:12" ht="15.75" thickBot="1" x14ac:dyDescent="0.3">
      <c r="B392" s="62" t="s">
        <v>22</v>
      </c>
      <c r="C392" s="145" t="s">
        <v>23</v>
      </c>
      <c r="D392" s="162">
        <f>D389/C389-1</f>
        <v>0</v>
      </c>
      <c r="E392" s="162">
        <f t="shared" ref="E392:F394" si="32">E389/D389-1</f>
        <v>0</v>
      </c>
      <c r="F392" s="162">
        <f t="shared" si="32"/>
        <v>0</v>
      </c>
      <c r="H392" s="163"/>
      <c r="I392" s="163"/>
      <c r="J392" s="163"/>
      <c r="K392" s="163"/>
      <c r="L392" s="163"/>
    </row>
    <row r="393" spans="2:12" ht="15.75" thickBot="1" x14ac:dyDescent="0.3">
      <c r="B393" s="62" t="s">
        <v>24</v>
      </c>
      <c r="C393" s="145" t="s">
        <v>23</v>
      </c>
      <c r="D393" s="162">
        <f>D390/C390-1</f>
        <v>-0.5</v>
      </c>
      <c r="E393" s="162">
        <f t="shared" si="32"/>
        <v>1</v>
      </c>
      <c r="F393" s="162">
        <f t="shared" si="32"/>
        <v>0</v>
      </c>
    </row>
    <row r="394" spans="2:12" ht="15.75" thickBot="1" x14ac:dyDescent="0.3">
      <c r="B394" s="62" t="s">
        <v>25</v>
      </c>
      <c r="C394" s="145" t="s">
        <v>23</v>
      </c>
      <c r="D394" s="162">
        <f>D391/C391-1</f>
        <v>-0.5</v>
      </c>
      <c r="E394" s="162">
        <f t="shared" si="32"/>
        <v>1</v>
      </c>
      <c r="F394" s="162">
        <f t="shared" si="32"/>
        <v>0</v>
      </c>
    </row>
    <row r="395" spans="2:12" ht="15.75" thickBot="1" x14ac:dyDescent="0.3">
      <c r="B395" s="1000" t="s">
        <v>784</v>
      </c>
      <c r="C395" s="1001"/>
      <c r="D395" s="1001"/>
      <c r="E395" s="1001"/>
      <c r="F395" s="1002"/>
    </row>
    <row r="396" spans="2:12" ht="12.75" customHeight="1" x14ac:dyDescent="0.25">
      <c r="B396" s="998"/>
      <c r="C396" s="63">
        <v>2018</v>
      </c>
      <c r="D396" s="63">
        <v>2019</v>
      </c>
      <c r="E396" s="63">
        <v>2020</v>
      </c>
      <c r="F396" s="63">
        <v>2021</v>
      </c>
    </row>
    <row r="397" spans="2:12" ht="9" customHeight="1" thickBot="1" x14ac:dyDescent="0.3">
      <c r="B397" s="999"/>
      <c r="C397" s="64" t="s">
        <v>10</v>
      </c>
      <c r="D397" s="64" t="s">
        <v>11</v>
      </c>
      <c r="E397" s="64" t="s">
        <v>11</v>
      </c>
      <c r="F397" s="64" t="s">
        <v>11</v>
      </c>
    </row>
    <row r="398" spans="2:12" ht="15.75" thickBot="1" x14ac:dyDescent="0.3">
      <c r="B398" s="65" t="s">
        <v>58</v>
      </c>
      <c r="C398" s="164">
        <v>0</v>
      </c>
      <c r="D398" s="164">
        <v>0</v>
      </c>
      <c r="E398" s="164">
        <v>0</v>
      </c>
      <c r="F398" s="164">
        <v>0</v>
      </c>
    </row>
    <row r="399" spans="2:12" ht="15.75" thickBot="1" x14ac:dyDescent="0.3">
      <c r="B399" s="65" t="s">
        <v>59</v>
      </c>
      <c r="C399" s="165">
        <v>200</v>
      </c>
      <c r="D399" s="161">
        <v>100</v>
      </c>
      <c r="E399" s="161">
        <v>200</v>
      </c>
      <c r="F399" s="161">
        <v>200</v>
      </c>
    </row>
    <row r="400" spans="2:12" ht="15.75" thickBot="1" x14ac:dyDescent="0.3">
      <c r="B400" s="66" t="s">
        <v>40</v>
      </c>
      <c r="C400" s="165">
        <f>C399+C398</f>
        <v>200</v>
      </c>
      <c r="D400" s="165">
        <f t="shared" ref="D400:F400" si="33">D399+D398</f>
        <v>100</v>
      </c>
      <c r="E400" s="165">
        <f t="shared" si="33"/>
        <v>200</v>
      </c>
      <c r="F400" s="165">
        <f t="shared" si="33"/>
        <v>200</v>
      </c>
    </row>
    <row r="401" spans="2:12" x14ac:dyDescent="0.25">
      <c r="B401" s="1015" t="s">
        <v>60</v>
      </c>
      <c r="C401" s="1036"/>
      <c r="D401" s="1037"/>
      <c r="E401" s="1037"/>
      <c r="F401" s="1038"/>
    </row>
    <row r="402" spans="2:12" x14ac:dyDescent="0.25">
      <c r="B402" s="1016"/>
      <c r="C402" s="1039"/>
      <c r="D402" s="1040"/>
      <c r="E402" s="1040"/>
      <c r="F402" s="1041"/>
    </row>
    <row r="403" spans="2:12" ht="15.75" thickBot="1" x14ac:dyDescent="0.3">
      <c r="B403" s="1017"/>
      <c r="C403" s="1042"/>
      <c r="D403" s="1043"/>
      <c r="E403" s="1043"/>
      <c r="F403" s="1044"/>
    </row>
    <row r="404" spans="2:12" ht="15.75" thickBot="1" x14ac:dyDescent="0.3">
      <c r="B404" s="374"/>
      <c r="C404" s="375"/>
      <c r="D404" s="376"/>
      <c r="E404" s="376"/>
      <c r="F404" s="377"/>
    </row>
    <row r="405" spans="2:12" ht="15.75" thickBot="1" x14ac:dyDescent="0.3">
      <c r="B405" s="67" t="s">
        <v>746</v>
      </c>
      <c r="C405" s="1009" t="s">
        <v>747</v>
      </c>
      <c r="D405" s="1010"/>
      <c r="E405" s="1010"/>
      <c r="F405" s="1011"/>
    </row>
    <row r="406" spans="2:12" ht="15.75" customHeight="1" thickBot="1" x14ac:dyDescent="0.3">
      <c r="B406" s="160" t="s">
        <v>42</v>
      </c>
      <c r="C406" s="992" t="s">
        <v>772</v>
      </c>
      <c r="D406" s="993"/>
      <c r="E406" s="993"/>
      <c r="F406" s="994"/>
    </row>
    <row r="407" spans="2:12" ht="17.25" customHeight="1" thickBot="1" x14ac:dyDescent="0.3">
      <c r="B407" s="62" t="s">
        <v>17</v>
      </c>
      <c r="C407" s="983" t="s">
        <v>773</v>
      </c>
      <c r="D407" s="984"/>
      <c r="E407" s="984"/>
      <c r="F407" s="985"/>
    </row>
    <row r="408" spans="2:12" ht="15.75" customHeight="1" thickBot="1" x14ac:dyDescent="0.3">
      <c r="B408" s="62" t="s">
        <v>18</v>
      </c>
      <c r="C408" s="995" t="s">
        <v>774</v>
      </c>
      <c r="D408" s="996"/>
      <c r="E408" s="996"/>
      <c r="F408" s="997"/>
    </row>
    <row r="409" spans="2:12" ht="12.75" customHeight="1" x14ac:dyDescent="0.25">
      <c r="B409" s="998"/>
      <c r="C409" s="63">
        <v>2018</v>
      </c>
      <c r="D409" s="63">
        <v>2019</v>
      </c>
      <c r="E409" s="63">
        <v>2020</v>
      </c>
      <c r="F409" s="63">
        <v>2021</v>
      </c>
    </row>
    <row r="410" spans="2:12" ht="15" customHeight="1" thickBot="1" x14ac:dyDescent="0.3">
      <c r="B410" s="999"/>
      <c r="C410" s="64" t="s">
        <v>10</v>
      </c>
      <c r="D410" s="64" t="s">
        <v>11</v>
      </c>
      <c r="E410" s="64" t="s">
        <v>11</v>
      </c>
      <c r="F410" s="64" t="s">
        <v>11</v>
      </c>
    </row>
    <row r="411" spans="2:12" ht="15.75" thickBot="1" x14ac:dyDescent="0.3">
      <c r="B411" s="62" t="s">
        <v>19</v>
      </c>
      <c r="C411" s="161">
        <v>4</v>
      </c>
      <c r="D411" s="161">
        <v>4</v>
      </c>
      <c r="E411" s="161">
        <v>4</v>
      </c>
      <c r="F411" s="161">
        <v>4</v>
      </c>
    </row>
    <row r="412" spans="2:12" ht="15.75" thickBot="1" x14ac:dyDescent="0.3">
      <c r="B412" s="62" t="s">
        <v>20</v>
      </c>
      <c r="C412" s="161">
        <v>100</v>
      </c>
      <c r="D412" s="161">
        <v>100</v>
      </c>
      <c r="E412" s="161">
        <v>100</v>
      </c>
      <c r="F412" s="161">
        <v>100</v>
      </c>
    </row>
    <row r="413" spans="2:12" ht="15.75" thickBot="1" x14ac:dyDescent="0.3">
      <c r="B413" s="62" t="s">
        <v>21</v>
      </c>
      <c r="C413" s="161">
        <f>C412/C411</f>
        <v>25</v>
      </c>
      <c r="D413" s="161">
        <f t="shared" ref="D413:F413" si="34">D412/D411</f>
        <v>25</v>
      </c>
      <c r="E413" s="161">
        <f t="shared" si="34"/>
        <v>25</v>
      </c>
      <c r="F413" s="161">
        <f t="shared" si="34"/>
        <v>25</v>
      </c>
    </row>
    <row r="414" spans="2:12" ht="15.75" thickBot="1" x14ac:dyDescent="0.3">
      <c r="B414" s="62" t="s">
        <v>22</v>
      </c>
      <c r="C414" s="145" t="s">
        <v>23</v>
      </c>
      <c r="D414" s="162">
        <f>D411/C411-1</f>
        <v>0</v>
      </c>
      <c r="E414" s="162">
        <f t="shared" ref="E414:F416" si="35">E411/D411-1</f>
        <v>0</v>
      </c>
      <c r="F414" s="162">
        <f t="shared" si="35"/>
        <v>0</v>
      </c>
      <c r="H414" s="163"/>
      <c r="I414" s="163"/>
      <c r="J414" s="163"/>
      <c r="K414" s="163"/>
      <c r="L414" s="163"/>
    </row>
    <row r="415" spans="2:12" ht="15.75" thickBot="1" x14ac:dyDescent="0.3">
      <c r="B415" s="62" t="s">
        <v>24</v>
      </c>
      <c r="C415" s="145" t="s">
        <v>23</v>
      </c>
      <c r="D415" s="162">
        <f>D412/C412-1</f>
        <v>0</v>
      </c>
      <c r="E415" s="162">
        <f t="shared" si="35"/>
        <v>0</v>
      </c>
      <c r="F415" s="162">
        <f t="shared" si="35"/>
        <v>0</v>
      </c>
    </row>
    <row r="416" spans="2:12" ht="15.75" thickBot="1" x14ac:dyDescent="0.3">
      <c r="B416" s="62" t="s">
        <v>25</v>
      </c>
      <c r="C416" s="145" t="s">
        <v>23</v>
      </c>
      <c r="D416" s="162">
        <f>D413/C413-1</f>
        <v>0</v>
      </c>
      <c r="E416" s="162">
        <f t="shared" si="35"/>
        <v>0</v>
      </c>
      <c r="F416" s="162">
        <f t="shared" si="35"/>
        <v>0</v>
      </c>
    </row>
    <row r="417" spans="2:6" ht="15.75" thickBot="1" x14ac:dyDescent="0.3">
      <c r="B417" s="1000" t="s">
        <v>786</v>
      </c>
      <c r="C417" s="1001"/>
      <c r="D417" s="1001"/>
      <c r="E417" s="1001"/>
      <c r="F417" s="1002"/>
    </row>
    <row r="418" spans="2:6" ht="12.75" customHeight="1" x14ac:dyDescent="0.25">
      <c r="B418" s="998"/>
      <c r="C418" s="63">
        <v>2018</v>
      </c>
      <c r="D418" s="63">
        <v>2019</v>
      </c>
      <c r="E418" s="63">
        <v>2020</v>
      </c>
      <c r="F418" s="63">
        <v>2021</v>
      </c>
    </row>
    <row r="419" spans="2:6" ht="27.75" customHeight="1" thickBot="1" x14ac:dyDescent="0.3">
      <c r="B419" s="999"/>
      <c r="C419" s="64" t="s">
        <v>10</v>
      </c>
      <c r="D419" s="64" t="s">
        <v>11</v>
      </c>
      <c r="E419" s="64" t="s">
        <v>11</v>
      </c>
      <c r="F419" s="64" t="s">
        <v>11</v>
      </c>
    </row>
    <row r="420" spans="2:6" ht="15.75" thickBot="1" x14ac:dyDescent="0.3">
      <c r="B420" s="65" t="s">
        <v>58</v>
      </c>
      <c r="C420" s="165">
        <v>0</v>
      </c>
      <c r="D420" s="165">
        <v>0</v>
      </c>
      <c r="E420" s="165">
        <v>0</v>
      </c>
      <c r="F420" s="165">
        <v>0</v>
      </c>
    </row>
    <row r="421" spans="2:6" ht="15.75" thickBot="1" x14ac:dyDescent="0.3">
      <c r="B421" s="65" t="s">
        <v>59</v>
      </c>
      <c r="C421" s="161">
        <v>100</v>
      </c>
      <c r="D421" s="161">
        <v>100</v>
      </c>
      <c r="E421" s="161">
        <v>100</v>
      </c>
      <c r="F421" s="161">
        <v>100</v>
      </c>
    </row>
    <row r="422" spans="2:6" ht="15.75" thickBot="1" x14ac:dyDescent="0.3">
      <c r="B422" s="66" t="s">
        <v>43</v>
      </c>
      <c r="C422" s="165">
        <f>C421+C420</f>
        <v>100</v>
      </c>
      <c r="D422" s="165">
        <f t="shared" ref="D422:F422" si="36">D421+D420</f>
        <v>100</v>
      </c>
      <c r="E422" s="165">
        <f t="shared" si="36"/>
        <v>100</v>
      </c>
      <c r="F422" s="165">
        <f t="shared" si="36"/>
        <v>100</v>
      </c>
    </row>
    <row r="423" spans="2:6" ht="15.75" thickBot="1" x14ac:dyDescent="0.3">
      <c r="B423" s="199"/>
      <c r="C423" s="379"/>
      <c r="D423" s="379"/>
      <c r="E423" s="379"/>
      <c r="F423" s="380"/>
    </row>
    <row r="424" spans="2:6" ht="15.75" customHeight="1" thickBot="1" x14ac:dyDescent="0.3">
      <c r="B424" s="154" t="s">
        <v>775</v>
      </c>
      <c r="C424" s="1052" t="s">
        <v>776</v>
      </c>
      <c r="D424" s="1053"/>
      <c r="E424" s="1053"/>
      <c r="F424" s="1054"/>
    </row>
    <row r="425" spans="2:6" ht="15.75" customHeight="1" thickBot="1" x14ac:dyDescent="0.3">
      <c r="B425" s="983" t="s">
        <v>195</v>
      </c>
      <c r="C425" s="984"/>
      <c r="D425" s="984"/>
      <c r="E425" s="984"/>
      <c r="F425" s="985"/>
    </row>
    <row r="426" spans="2:6" ht="60.75" thickBot="1" x14ac:dyDescent="0.3">
      <c r="B426" s="146" t="s">
        <v>777</v>
      </c>
      <c r="C426" s="157" t="s">
        <v>116</v>
      </c>
      <c r="D426" s="157" t="s">
        <v>117</v>
      </c>
      <c r="E426" s="157" t="s">
        <v>117</v>
      </c>
      <c r="F426" s="157" t="s">
        <v>117</v>
      </c>
    </row>
    <row r="427" spans="2:6" ht="90.75" thickBot="1" x14ac:dyDescent="0.3">
      <c r="B427" s="62" t="s">
        <v>778</v>
      </c>
      <c r="C427" s="157" t="s">
        <v>116</v>
      </c>
      <c r="D427" s="157" t="s">
        <v>117</v>
      </c>
      <c r="E427" s="157" t="s">
        <v>117</v>
      </c>
      <c r="F427" s="157" t="s">
        <v>117</v>
      </c>
    </row>
    <row r="428" spans="2:6" ht="90.75" thickBot="1" x14ac:dyDescent="0.3">
      <c r="B428" s="62" t="s">
        <v>779</v>
      </c>
      <c r="C428" s="157" t="s">
        <v>116</v>
      </c>
      <c r="D428" s="157" t="s">
        <v>117</v>
      </c>
      <c r="E428" s="157" t="s">
        <v>117</v>
      </c>
      <c r="F428" s="157" t="s">
        <v>117</v>
      </c>
    </row>
    <row r="429" spans="2:6" ht="23.25" customHeight="1" thickBot="1" x14ac:dyDescent="0.3">
      <c r="B429" s="1027" t="s">
        <v>346</v>
      </c>
      <c r="C429" s="1028"/>
      <c r="D429" s="1028"/>
      <c r="E429" s="1028"/>
      <c r="F429" s="1029"/>
    </row>
    <row r="430" spans="2:6" ht="23.25" customHeight="1" thickBot="1" x14ac:dyDescent="0.3">
      <c r="B430" s="1030" t="s">
        <v>70</v>
      </c>
      <c r="C430" s="1031"/>
      <c r="D430" s="1031"/>
      <c r="E430" s="1031"/>
      <c r="F430" s="1032"/>
    </row>
    <row r="431" spans="2:6" ht="12.75" customHeight="1" x14ac:dyDescent="0.25">
      <c r="B431" s="998"/>
      <c r="C431" s="63">
        <v>2018</v>
      </c>
      <c r="D431" s="63">
        <v>2019</v>
      </c>
      <c r="E431" s="63">
        <v>2020</v>
      </c>
      <c r="F431" s="63">
        <v>2021</v>
      </c>
    </row>
    <row r="432" spans="2:6" ht="33.75" customHeight="1" thickBot="1" x14ac:dyDescent="0.3">
      <c r="B432" s="999"/>
      <c r="C432" s="64" t="s">
        <v>10</v>
      </c>
      <c r="D432" s="64" t="s">
        <v>11</v>
      </c>
      <c r="E432" s="64" t="s">
        <v>11</v>
      </c>
      <c r="F432" s="64" t="s">
        <v>11</v>
      </c>
    </row>
    <row r="433" spans="2:6" ht="26.25" customHeight="1" thickBot="1" x14ac:dyDescent="0.3">
      <c r="B433" s="160" t="s">
        <v>16</v>
      </c>
      <c r="C433" s="992" t="s">
        <v>776</v>
      </c>
      <c r="D433" s="993"/>
      <c r="E433" s="993"/>
      <c r="F433" s="994"/>
    </row>
    <row r="434" spans="2:6" ht="45" customHeight="1" thickBot="1" x14ac:dyDescent="0.3">
      <c r="B434" s="62" t="s">
        <v>17</v>
      </c>
      <c r="C434" s="1049" t="s">
        <v>780</v>
      </c>
      <c r="D434" s="1050"/>
      <c r="E434" s="1050"/>
      <c r="F434" s="1051"/>
    </row>
    <row r="435" spans="2:6" ht="15.75" customHeight="1" thickBot="1" x14ac:dyDescent="0.3">
      <c r="B435" s="62" t="s">
        <v>18</v>
      </c>
      <c r="C435" s="995" t="s">
        <v>781</v>
      </c>
      <c r="D435" s="996"/>
      <c r="E435" s="996"/>
      <c r="F435" s="997"/>
    </row>
    <row r="436" spans="2:6" ht="12.75" customHeight="1" x14ac:dyDescent="0.25">
      <c r="B436" s="998"/>
      <c r="C436" s="63">
        <v>2018</v>
      </c>
      <c r="D436" s="63">
        <v>2019</v>
      </c>
      <c r="E436" s="63">
        <v>2020</v>
      </c>
      <c r="F436" s="63">
        <v>2021</v>
      </c>
    </row>
    <row r="437" spans="2:6" ht="20.25" customHeight="1" thickBot="1" x14ac:dyDescent="0.3">
      <c r="B437" s="999"/>
      <c r="C437" s="64" t="s">
        <v>10</v>
      </c>
      <c r="D437" s="64" t="s">
        <v>11</v>
      </c>
      <c r="E437" s="64" t="s">
        <v>11</v>
      </c>
      <c r="F437" s="64" t="s">
        <v>11</v>
      </c>
    </row>
    <row r="438" spans="2:6" ht="15.75" customHeight="1" thickBot="1" x14ac:dyDescent="0.3">
      <c r="B438" s="62" t="s">
        <v>19</v>
      </c>
      <c r="C438" s="161">
        <v>4</v>
      </c>
      <c r="D438" s="203">
        <v>5</v>
      </c>
      <c r="E438" s="203">
        <v>5</v>
      </c>
      <c r="F438" s="203">
        <v>5</v>
      </c>
    </row>
    <row r="439" spans="2:6" ht="15.75" thickBot="1" x14ac:dyDescent="0.3">
      <c r="B439" s="62" t="s">
        <v>20</v>
      </c>
      <c r="C439" s="161">
        <v>23300</v>
      </c>
      <c r="D439" s="161">
        <v>23900</v>
      </c>
      <c r="E439" s="161">
        <v>24400</v>
      </c>
      <c r="F439" s="161">
        <v>24400</v>
      </c>
    </row>
    <row r="440" spans="2:6" ht="15.75" thickBot="1" x14ac:dyDescent="0.3">
      <c r="B440" s="62" t="s">
        <v>21</v>
      </c>
      <c r="C440" s="161">
        <f>C439/C438</f>
        <v>5825</v>
      </c>
      <c r="D440" s="161">
        <f t="shared" ref="D440:F440" si="37">D439/D438</f>
        <v>4780</v>
      </c>
      <c r="E440" s="161">
        <f t="shared" si="37"/>
        <v>4880</v>
      </c>
      <c r="F440" s="161">
        <f t="shared" si="37"/>
        <v>4880</v>
      </c>
    </row>
    <row r="441" spans="2:6" ht="15.75" thickBot="1" x14ac:dyDescent="0.3">
      <c r="B441" s="62" t="s">
        <v>22</v>
      </c>
      <c r="C441" s="145"/>
      <c r="D441" s="162">
        <f>D438/C438-1</f>
        <v>0.25</v>
      </c>
      <c r="E441" s="162">
        <f t="shared" ref="E441:F443" si="38">E438/D438-1</f>
        <v>0</v>
      </c>
      <c r="F441" s="162">
        <f t="shared" si="38"/>
        <v>0</v>
      </c>
    </row>
    <row r="442" spans="2:6" ht="15.75" thickBot="1" x14ac:dyDescent="0.3">
      <c r="B442" s="62" t="s">
        <v>24</v>
      </c>
      <c r="C442" s="145"/>
      <c r="D442" s="162">
        <f>D439/C439-1</f>
        <v>2.5751072961373467E-2</v>
      </c>
      <c r="E442" s="162">
        <f t="shared" si="38"/>
        <v>2.0920502092050208E-2</v>
      </c>
      <c r="F442" s="162">
        <f t="shared" si="38"/>
        <v>0</v>
      </c>
    </row>
    <row r="443" spans="2:6" ht="15.75" thickBot="1" x14ac:dyDescent="0.3">
      <c r="B443" s="62" t="s">
        <v>25</v>
      </c>
      <c r="C443" s="145"/>
      <c r="D443" s="162">
        <f>D440/C440-1</f>
        <v>-0.17939914163090132</v>
      </c>
      <c r="E443" s="162">
        <f t="shared" si="38"/>
        <v>2.0920502092050208E-2</v>
      </c>
      <c r="F443" s="162">
        <f t="shared" si="38"/>
        <v>0</v>
      </c>
    </row>
    <row r="444" spans="2:6" ht="12.75" customHeight="1" x14ac:dyDescent="0.25">
      <c r="B444" s="998"/>
      <c r="C444" s="63">
        <v>2018</v>
      </c>
      <c r="D444" s="63">
        <v>2019</v>
      </c>
      <c r="E444" s="63">
        <v>2020</v>
      </c>
      <c r="F444" s="63">
        <v>2021</v>
      </c>
    </row>
    <row r="445" spans="2:6" ht="30.75" customHeight="1" thickBot="1" x14ac:dyDescent="0.3">
      <c r="B445" s="999"/>
      <c r="C445" s="64" t="s">
        <v>10</v>
      </c>
      <c r="D445" s="64" t="s">
        <v>11</v>
      </c>
      <c r="E445" s="64" t="s">
        <v>11</v>
      </c>
      <c r="F445" s="64" t="s">
        <v>11</v>
      </c>
    </row>
    <row r="446" spans="2:6" ht="15.75" thickBot="1" x14ac:dyDescent="0.3">
      <c r="B446" s="1000" t="s">
        <v>794</v>
      </c>
      <c r="C446" s="1001"/>
      <c r="D446" s="1001"/>
      <c r="E446" s="1001"/>
      <c r="F446" s="1002"/>
    </row>
    <row r="447" spans="2:6" ht="12.75" customHeight="1" x14ac:dyDescent="0.25">
      <c r="B447" s="998"/>
      <c r="C447" s="63">
        <v>2018</v>
      </c>
      <c r="D447" s="63">
        <v>2019</v>
      </c>
      <c r="E447" s="63">
        <v>2020</v>
      </c>
      <c r="F447" s="63">
        <v>2021</v>
      </c>
    </row>
    <row r="448" spans="2:6" ht="24" customHeight="1" thickBot="1" x14ac:dyDescent="0.3">
      <c r="B448" s="999"/>
      <c r="C448" s="64" t="s">
        <v>10</v>
      </c>
      <c r="D448" s="64" t="s">
        <v>11</v>
      </c>
      <c r="E448" s="64" t="s">
        <v>11</v>
      </c>
      <c r="F448" s="64" t="s">
        <v>11</v>
      </c>
    </row>
    <row r="449" spans="2:6" ht="15.75" thickBot="1" x14ac:dyDescent="0.3">
      <c r="B449" s="65" t="s">
        <v>26</v>
      </c>
      <c r="C449" s="164">
        <v>9000</v>
      </c>
      <c r="D449" s="164">
        <v>9000</v>
      </c>
      <c r="E449" s="164">
        <v>9000</v>
      </c>
      <c r="F449" s="164">
        <v>9000</v>
      </c>
    </row>
    <row r="450" spans="2:6" ht="15.75" thickBot="1" x14ac:dyDescent="0.3">
      <c r="B450" s="65" t="s">
        <v>28</v>
      </c>
      <c r="C450" s="164">
        <v>1000</v>
      </c>
      <c r="D450" s="164">
        <v>500</v>
      </c>
      <c r="E450" s="164">
        <v>700</v>
      </c>
      <c r="F450" s="164">
        <v>700</v>
      </c>
    </row>
    <row r="451" spans="2:6" ht="15.75" thickBot="1" x14ac:dyDescent="0.3">
      <c r="B451" s="65" t="s">
        <v>30</v>
      </c>
      <c r="C451" s="165">
        <v>9250</v>
      </c>
      <c r="D451" s="165">
        <v>8500</v>
      </c>
      <c r="E451" s="165">
        <v>8800</v>
      </c>
      <c r="F451" s="165">
        <v>8800</v>
      </c>
    </row>
    <row r="452" spans="2:6" ht="15.75" thickBot="1" x14ac:dyDescent="0.3">
      <c r="B452" s="65" t="s">
        <v>32</v>
      </c>
      <c r="C452" s="165">
        <v>0</v>
      </c>
      <c r="D452" s="165">
        <v>0</v>
      </c>
      <c r="E452" s="165">
        <v>0</v>
      </c>
      <c r="F452" s="165">
        <v>0</v>
      </c>
    </row>
    <row r="453" spans="2:6" ht="15.75" thickBot="1" x14ac:dyDescent="0.3">
      <c r="B453" s="65" t="s">
        <v>34</v>
      </c>
      <c r="C453" s="165">
        <v>0</v>
      </c>
      <c r="D453" s="165">
        <v>0</v>
      </c>
      <c r="E453" s="165">
        <v>0</v>
      </c>
      <c r="F453" s="165">
        <v>0</v>
      </c>
    </row>
    <row r="454" spans="2:6" ht="15.75" thickBot="1" x14ac:dyDescent="0.3">
      <c r="B454" s="65" t="s">
        <v>36</v>
      </c>
      <c r="C454" s="165">
        <v>0</v>
      </c>
      <c r="D454" s="165">
        <v>0</v>
      </c>
      <c r="E454" s="165">
        <v>0</v>
      </c>
      <c r="F454" s="165">
        <v>0</v>
      </c>
    </row>
    <row r="455" spans="2:6" ht="15.75" thickBot="1" x14ac:dyDescent="0.3">
      <c r="B455" s="65" t="s">
        <v>38</v>
      </c>
      <c r="C455" s="165">
        <v>4050</v>
      </c>
      <c r="D455" s="165">
        <v>5900</v>
      </c>
      <c r="E455" s="165">
        <v>5900</v>
      </c>
      <c r="F455" s="165">
        <v>5900</v>
      </c>
    </row>
    <row r="456" spans="2:6" ht="15.75" thickBot="1" x14ac:dyDescent="0.3">
      <c r="B456" s="204" t="s">
        <v>71</v>
      </c>
      <c r="C456" s="205">
        <f>C455+C454+C453+C452+C451+C450+C449</f>
        <v>23300</v>
      </c>
      <c r="D456" s="205">
        <f>D455+D454+D453+D452+D451+D450+D449</f>
        <v>23900</v>
      </c>
      <c r="E456" s="205">
        <f>E455+E454+E453+E452+E451+E450+E449</f>
        <v>24400</v>
      </c>
      <c r="F456" s="205">
        <f>F455+F454+F453+F452+F451+F450+F449</f>
        <v>24400</v>
      </c>
    </row>
    <row r="457" spans="2:6" ht="15.75" thickBot="1" x14ac:dyDescent="0.3">
      <c r="B457" s="166" t="s">
        <v>41</v>
      </c>
      <c r="C457" s="167">
        <f>IF(C456-C439=0,0,"Error")</f>
        <v>0</v>
      </c>
      <c r="D457" s="167">
        <f>IF(D456-D439=0,0,"Error")</f>
        <v>0</v>
      </c>
      <c r="E457" s="167">
        <f>IF(E456-E439=0,0,"Error")</f>
        <v>0</v>
      </c>
      <c r="F457" s="167">
        <f>IF(F456-F439=0,0,"Error")</f>
        <v>0</v>
      </c>
    </row>
    <row r="458" spans="2:6" ht="15.75" thickBot="1" x14ac:dyDescent="0.3">
      <c r="B458" s="378"/>
      <c r="C458" s="373"/>
      <c r="D458" s="373"/>
      <c r="E458" s="373"/>
      <c r="F458" s="373"/>
    </row>
    <row r="459" spans="2:6" ht="15.75" thickBot="1" x14ac:dyDescent="0.3">
      <c r="B459" s="989" t="s">
        <v>63</v>
      </c>
      <c r="C459" s="990"/>
      <c r="D459" s="990"/>
      <c r="E459" s="990"/>
      <c r="F459" s="991"/>
    </row>
    <row r="460" spans="2:6" ht="15.75" thickBot="1" x14ac:dyDescent="0.3">
      <c r="B460" s="989" t="s">
        <v>56</v>
      </c>
      <c r="C460" s="990"/>
      <c r="D460" s="990"/>
      <c r="E460" s="990"/>
      <c r="F460" s="991"/>
    </row>
    <row r="461" spans="2:6" ht="15.75" thickBot="1" x14ac:dyDescent="0.3">
      <c r="B461" s="67" t="s">
        <v>782</v>
      </c>
      <c r="C461" s="1009" t="s">
        <v>783</v>
      </c>
      <c r="D461" s="1010"/>
      <c r="E461" s="1010"/>
      <c r="F461" s="1011"/>
    </row>
    <row r="462" spans="2:6" ht="15.75" thickBot="1" x14ac:dyDescent="0.3">
      <c r="B462" s="160" t="s">
        <v>16</v>
      </c>
      <c r="C462" s="992" t="s">
        <v>776</v>
      </c>
      <c r="D462" s="993"/>
      <c r="E462" s="993"/>
      <c r="F462" s="994"/>
    </row>
    <row r="463" spans="2:6" ht="15.75" thickBot="1" x14ac:dyDescent="0.3">
      <c r="B463" s="62" t="s">
        <v>17</v>
      </c>
      <c r="C463" s="1049" t="s">
        <v>780</v>
      </c>
      <c r="D463" s="1050"/>
      <c r="E463" s="1050"/>
      <c r="F463" s="1051"/>
    </row>
    <row r="464" spans="2:6" ht="15.75" thickBot="1" x14ac:dyDescent="0.3">
      <c r="B464" s="62" t="s">
        <v>18</v>
      </c>
      <c r="C464" s="995" t="s">
        <v>781</v>
      </c>
      <c r="D464" s="996"/>
      <c r="E464" s="996"/>
      <c r="F464" s="997"/>
    </row>
    <row r="465" spans="2:12" ht="12.75" customHeight="1" x14ac:dyDescent="0.25">
      <c r="B465" s="998"/>
      <c r="C465" s="63">
        <v>2018</v>
      </c>
      <c r="D465" s="63">
        <v>2019</v>
      </c>
      <c r="E465" s="63">
        <v>2020</v>
      </c>
      <c r="F465" s="63">
        <v>2021</v>
      </c>
    </row>
    <row r="466" spans="2:12" ht="21.75" customHeight="1" thickBot="1" x14ac:dyDescent="0.3">
      <c r="B466" s="999"/>
      <c r="C466" s="64" t="s">
        <v>10</v>
      </c>
      <c r="D466" s="64" t="s">
        <v>11</v>
      </c>
      <c r="E466" s="64" t="s">
        <v>11</v>
      </c>
      <c r="F466" s="64" t="s">
        <v>11</v>
      </c>
    </row>
    <row r="467" spans="2:12" ht="15.75" thickBot="1" x14ac:dyDescent="0.3">
      <c r="B467" s="62" t="s">
        <v>19</v>
      </c>
      <c r="C467" s="161">
        <v>4</v>
      </c>
      <c r="D467" s="203">
        <v>5</v>
      </c>
      <c r="E467" s="203">
        <v>5</v>
      </c>
      <c r="F467" s="203">
        <v>5</v>
      </c>
    </row>
    <row r="468" spans="2:12" ht="15.75" thickBot="1" x14ac:dyDescent="0.3">
      <c r="B468" s="62" t="s">
        <v>20</v>
      </c>
      <c r="C468" s="161">
        <v>200</v>
      </c>
      <c r="D468" s="161">
        <v>600</v>
      </c>
      <c r="E468" s="161">
        <v>0</v>
      </c>
      <c r="F468" s="161">
        <v>0</v>
      </c>
    </row>
    <row r="469" spans="2:12" ht="15.75" thickBot="1" x14ac:dyDescent="0.3">
      <c r="B469" s="62" t="s">
        <v>21</v>
      </c>
      <c r="C469" s="161">
        <f>C468/C467</f>
        <v>50</v>
      </c>
      <c r="D469" s="161">
        <f t="shared" ref="D469:F469" si="39">D468/D467</f>
        <v>120</v>
      </c>
      <c r="E469" s="161">
        <f t="shared" si="39"/>
        <v>0</v>
      </c>
      <c r="F469" s="161">
        <f t="shared" si="39"/>
        <v>0</v>
      </c>
    </row>
    <row r="470" spans="2:12" ht="15.75" thickBot="1" x14ac:dyDescent="0.3">
      <c r="B470" s="62" t="s">
        <v>22</v>
      </c>
      <c r="C470" s="145" t="s">
        <v>23</v>
      </c>
      <c r="D470" s="162">
        <f>D467/C467-1</f>
        <v>0.25</v>
      </c>
      <c r="E470" s="162">
        <f t="shared" ref="E470:F472" si="40">E467/D467-1</f>
        <v>0</v>
      </c>
      <c r="F470" s="162">
        <f t="shared" si="40"/>
        <v>0</v>
      </c>
      <c r="H470" s="163"/>
      <c r="I470" s="163"/>
      <c r="J470" s="163"/>
      <c r="K470" s="163"/>
      <c r="L470" s="163"/>
    </row>
    <row r="471" spans="2:12" ht="15.75" thickBot="1" x14ac:dyDescent="0.3">
      <c r="B471" s="62" t="s">
        <v>24</v>
      </c>
      <c r="C471" s="145" t="s">
        <v>23</v>
      </c>
      <c r="D471" s="162">
        <f>D468/C468-1</f>
        <v>2</v>
      </c>
      <c r="E471" s="162">
        <f t="shared" si="40"/>
        <v>-1</v>
      </c>
      <c r="F471" s="162" t="e">
        <f t="shared" si="40"/>
        <v>#DIV/0!</v>
      </c>
    </row>
    <row r="472" spans="2:12" ht="15.75" thickBot="1" x14ac:dyDescent="0.3">
      <c r="B472" s="62" t="s">
        <v>25</v>
      </c>
      <c r="C472" s="145" t="s">
        <v>23</v>
      </c>
      <c r="D472" s="162">
        <f>D469/C469-1</f>
        <v>1.4</v>
      </c>
      <c r="E472" s="162">
        <f t="shared" si="40"/>
        <v>-1</v>
      </c>
      <c r="F472" s="162" t="e">
        <f t="shared" si="40"/>
        <v>#DIV/0!</v>
      </c>
    </row>
    <row r="473" spans="2:12" ht="15.75" thickBot="1" x14ac:dyDescent="0.3">
      <c r="B473" s="1000" t="s">
        <v>784</v>
      </c>
      <c r="C473" s="1001"/>
      <c r="D473" s="1001"/>
      <c r="E473" s="1001"/>
      <c r="F473" s="1002"/>
    </row>
    <row r="474" spans="2:12" ht="12.75" customHeight="1" x14ac:dyDescent="0.25">
      <c r="B474" s="998"/>
      <c r="C474" s="63">
        <v>2018</v>
      </c>
      <c r="D474" s="63">
        <v>2019</v>
      </c>
      <c r="E474" s="63">
        <v>2020</v>
      </c>
      <c r="F474" s="63">
        <v>2021</v>
      </c>
    </row>
    <row r="475" spans="2:12" ht="9" customHeight="1" thickBot="1" x14ac:dyDescent="0.3">
      <c r="B475" s="999"/>
      <c r="C475" s="64" t="s">
        <v>10</v>
      </c>
      <c r="D475" s="64" t="s">
        <v>11</v>
      </c>
      <c r="E475" s="64" t="s">
        <v>11</v>
      </c>
      <c r="F475" s="64" t="s">
        <v>11</v>
      </c>
    </row>
    <row r="476" spans="2:12" ht="15.75" thickBot="1" x14ac:dyDescent="0.3">
      <c r="B476" s="65" t="s">
        <v>58</v>
      </c>
      <c r="C476" s="165">
        <v>0</v>
      </c>
      <c r="D476" s="165">
        <v>0</v>
      </c>
      <c r="E476" s="165">
        <v>0</v>
      </c>
      <c r="F476" s="165">
        <v>0</v>
      </c>
    </row>
    <row r="477" spans="2:12" ht="15.75" thickBot="1" x14ac:dyDescent="0.3">
      <c r="B477" s="65" t="s">
        <v>59</v>
      </c>
      <c r="C477" s="165">
        <v>200</v>
      </c>
      <c r="D477" s="164">
        <v>600</v>
      </c>
      <c r="E477" s="164">
        <v>0</v>
      </c>
      <c r="F477" s="164">
        <v>0</v>
      </c>
    </row>
    <row r="478" spans="2:12" ht="15.75" thickBot="1" x14ac:dyDescent="0.3">
      <c r="B478" s="66" t="s">
        <v>40</v>
      </c>
      <c r="C478" s="165">
        <f>C477+C476</f>
        <v>200</v>
      </c>
      <c r="D478" s="165">
        <f t="shared" ref="D478:F478" si="41">D477+D476</f>
        <v>600</v>
      </c>
      <c r="E478" s="165">
        <f t="shared" si="41"/>
        <v>0</v>
      </c>
      <c r="F478" s="165">
        <f t="shared" si="41"/>
        <v>0</v>
      </c>
    </row>
    <row r="479" spans="2:12" ht="15.75" thickBot="1" x14ac:dyDescent="0.3">
      <c r="B479" s="199"/>
      <c r="C479" s="200"/>
      <c r="D479" s="200"/>
      <c r="E479" s="200"/>
      <c r="F479" s="201"/>
    </row>
    <row r="481" spans="2:6" ht="15.75" thickBot="1" x14ac:dyDescent="0.3">
      <c r="B481" s="175"/>
      <c r="C481" s="176"/>
      <c r="D481" s="176"/>
      <c r="E481" s="176"/>
      <c r="F481" s="176"/>
    </row>
    <row r="482" spans="2:6" ht="36" customHeight="1" thickBot="1" x14ac:dyDescent="0.3">
      <c r="B482" s="158" t="s">
        <v>82</v>
      </c>
      <c r="C482" s="177">
        <f>SUM(C31+C55+C82+C104+C131+C160+C185+C209+C236+C258+C285+C314+C339+C363+C390+C412+C439+C468)</f>
        <v>109500</v>
      </c>
      <c r="D482" s="177">
        <f t="shared" ref="D482:F482" si="42">SUM(D31+D55+D82+D104+D131+D160+D185+D209+D236+D258+D285+D314+D339+D363+D390+D412+D439+D468)</f>
        <v>112000</v>
      </c>
      <c r="E482" s="177">
        <f t="shared" si="42"/>
        <v>114000</v>
      </c>
      <c r="F482" s="177">
        <f t="shared" si="42"/>
        <v>114500</v>
      </c>
    </row>
    <row r="483" spans="2:6" ht="15.75" thickBot="1" x14ac:dyDescent="0.3">
      <c r="B483" s="158" t="s">
        <v>83</v>
      </c>
      <c r="C483" s="177">
        <f>C485+C487+C489+C491+C493+C495+C497+C499+C501</f>
        <v>109500</v>
      </c>
      <c r="D483" s="177">
        <f t="shared" ref="D483:F483" si="43">D485+D487+D489+D491+D493+D495+D497+D499+D501</f>
        <v>112000</v>
      </c>
      <c r="E483" s="177">
        <f t="shared" si="43"/>
        <v>114000</v>
      </c>
      <c r="F483" s="177">
        <f t="shared" si="43"/>
        <v>114500</v>
      </c>
    </row>
    <row r="484" spans="2:6" ht="15.75" thickBot="1" x14ac:dyDescent="0.3">
      <c r="B484" s="178" t="s">
        <v>84</v>
      </c>
      <c r="C484" s="179"/>
      <c r="D484" s="180">
        <f>D483/C483-1</f>
        <v>2.2831050228310446E-2</v>
      </c>
      <c r="E484" s="180">
        <f t="shared" ref="E484:F484" si="44">E483/D483-1</f>
        <v>1.7857142857142794E-2</v>
      </c>
      <c r="F484" s="180">
        <f t="shared" si="44"/>
        <v>4.3859649122806044E-3</v>
      </c>
    </row>
    <row r="485" spans="2:6" ht="15.75" thickBot="1" x14ac:dyDescent="0.3">
      <c r="B485" s="65" t="s">
        <v>26</v>
      </c>
      <c r="C485" s="164">
        <f>C449+C371+C217+C193+C347+C295+C141+C63+C39</f>
        <v>29000</v>
      </c>
      <c r="D485" s="164">
        <f t="shared" ref="D485:F485" si="45">D449+D371+D217+D193+D347+D295+D141+D63+D39</f>
        <v>30000</v>
      </c>
      <c r="E485" s="164">
        <f t="shared" si="45"/>
        <v>30400</v>
      </c>
      <c r="F485" s="164">
        <f t="shared" si="45"/>
        <v>30400</v>
      </c>
    </row>
    <row r="486" spans="2:6" ht="15.75" thickBot="1" x14ac:dyDescent="0.3">
      <c r="B486" s="181" t="s">
        <v>85</v>
      </c>
      <c r="C486" s="165"/>
      <c r="D486" s="182">
        <f>D485/C485-1</f>
        <v>3.4482758620689724E-2</v>
      </c>
      <c r="E486" s="182">
        <f t="shared" ref="E486:F486" si="46">E485/D485-1</f>
        <v>1.3333333333333419E-2</v>
      </c>
      <c r="F486" s="182">
        <f t="shared" si="46"/>
        <v>0</v>
      </c>
    </row>
    <row r="487" spans="2:6" ht="15.75" thickBot="1" x14ac:dyDescent="0.3">
      <c r="B487" s="65" t="s">
        <v>28</v>
      </c>
      <c r="C487" s="164">
        <f>C450+C372+C218+C194+C348+C296+C142+C64+C40</f>
        <v>5500</v>
      </c>
      <c r="D487" s="164">
        <f t="shared" ref="D487:F487" si="47">D450+D372+D218+D194+D348+D296+D142+D64+D40</f>
        <v>5700</v>
      </c>
      <c r="E487" s="164">
        <f t="shared" si="47"/>
        <v>5800</v>
      </c>
      <c r="F487" s="164">
        <f t="shared" si="47"/>
        <v>5800</v>
      </c>
    </row>
    <row r="488" spans="2:6" ht="15.75" thickBot="1" x14ac:dyDescent="0.3">
      <c r="B488" s="181" t="s">
        <v>86</v>
      </c>
      <c r="C488" s="165"/>
      <c r="D488" s="182">
        <f>D487/C487-1</f>
        <v>3.6363636363636376E-2</v>
      </c>
      <c r="E488" s="182">
        <f t="shared" ref="E488:F488" si="48">E487/D487-1</f>
        <v>1.7543859649122862E-2</v>
      </c>
      <c r="F488" s="182">
        <f t="shared" si="48"/>
        <v>0</v>
      </c>
    </row>
    <row r="489" spans="2:6" ht="15.75" thickBot="1" x14ac:dyDescent="0.3">
      <c r="B489" s="65" t="s">
        <v>30</v>
      </c>
      <c r="C489" s="164">
        <f>C451+C373+C219+C195+C349+C297+C143+C65+C41</f>
        <v>41000</v>
      </c>
      <c r="D489" s="164">
        <f t="shared" ref="D489:F489" si="49">D451+D373+D219+D195+D349+D297+D143+D65+D41</f>
        <v>41900</v>
      </c>
      <c r="E489" s="164">
        <f t="shared" si="49"/>
        <v>43400</v>
      </c>
      <c r="F489" s="164">
        <f t="shared" si="49"/>
        <v>43900</v>
      </c>
    </row>
    <row r="490" spans="2:6" ht="15.75" thickBot="1" x14ac:dyDescent="0.3">
      <c r="B490" s="181" t="s">
        <v>87</v>
      </c>
      <c r="C490" s="164"/>
      <c r="D490" s="182">
        <f>D489/C489-1</f>
        <v>2.1951219512195141E-2</v>
      </c>
      <c r="E490" s="182">
        <f t="shared" ref="E490:F490" si="50">E489/D489-1</f>
        <v>3.5799522673030992E-2</v>
      </c>
      <c r="F490" s="182">
        <f t="shared" si="50"/>
        <v>1.1520737327188835E-2</v>
      </c>
    </row>
    <row r="491" spans="2:6" ht="15.75" thickBot="1" x14ac:dyDescent="0.3">
      <c r="B491" s="65" t="s">
        <v>32</v>
      </c>
      <c r="C491" s="164">
        <f>C452+C374+C220+C196+C350+C298+C144+C66+C42</f>
        <v>0</v>
      </c>
      <c r="D491" s="164">
        <f t="shared" ref="D491:F491" si="51">D452+D374+D220+D196+D350+D298+D144+D66+D42</f>
        <v>0</v>
      </c>
      <c r="E491" s="164">
        <f t="shared" si="51"/>
        <v>0</v>
      </c>
      <c r="F491" s="164">
        <f t="shared" si="51"/>
        <v>0</v>
      </c>
    </row>
    <row r="492" spans="2:6" ht="15.75" thickBot="1" x14ac:dyDescent="0.3">
      <c r="B492" s="181" t="s">
        <v>88</v>
      </c>
      <c r="C492" s="164"/>
      <c r="D492" s="182" t="e">
        <f>D491/C491-1</f>
        <v>#DIV/0!</v>
      </c>
      <c r="E492" s="182" t="e">
        <f t="shared" ref="E492:F492" si="52">E491/D491-1</f>
        <v>#DIV/0!</v>
      </c>
      <c r="F492" s="182" t="e">
        <f t="shared" si="52"/>
        <v>#DIV/0!</v>
      </c>
    </row>
    <row r="493" spans="2:6" ht="15.75" thickBot="1" x14ac:dyDescent="0.3">
      <c r="B493" s="65" t="s">
        <v>34</v>
      </c>
      <c r="C493" s="164">
        <f>C453+C375+C221+C197+C351+C299+C145+C67+C43</f>
        <v>1000</v>
      </c>
      <c r="D493" s="164">
        <f t="shared" ref="D493:F493" si="53">D453+D375+D221+D197+D351+D299+D145+D67+D43</f>
        <v>1000</v>
      </c>
      <c r="E493" s="164">
        <f t="shared" si="53"/>
        <v>1000</v>
      </c>
      <c r="F493" s="164">
        <f t="shared" si="53"/>
        <v>1000</v>
      </c>
    </row>
    <row r="494" spans="2:6" ht="15.75" thickBot="1" x14ac:dyDescent="0.3">
      <c r="B494" s="181" t="s">
        <v>89</v>
      </c>
      <c r="C494" s="164"/>
      <c r="D494" s="182">
        <f>D493/C493-1</f>
        <v>0</v>
      </c>
      <c r="E494" s="182">
        <f t="shared" ref="E494:F494" si="54">E493/D493-1</f>
        <v>0</v>
      </c>
      <c r="F494" s="182">
        <f t="shared" si="54"/>
        <v>0</v>
      </c>
    </row>
    <row r="495" spans="2:6" ht="15.75" thickBot="1" x14ac:dyDescent="0.3">
      <c r="B495" s="65" t="s">
        <v>36</v>
      </c>
      <c r="C495" s="164">
        <f>C454+C376+C222+C198+C352+C300+C146+C68+C44</f>
        <v>400</v>
      </c>
      <c r="D495" s="164">
        <f t="shared" ref="D495:F495" si="55">D454+D376+D222+D198+D352+D300+D146+D68+D44</f>
        <v>400</v>
      </c>
      <c r="E495" s="164">
        <f t="shared" si="55"/>
        <v>400</v>
      </c>
      <c r="F495" s="164">
        <f t="shared" si="55"/>
        <v>400</v>
      </c>
    </row>
    <row r="496" spans="2:6" ht="15.75" thickBot="1" x14ac:dyDescent="0.3">
      <c r="B496" s="181" t="s">
        <v>90</v>
      </c>
      <c r="C496" s="164"/>
      <c r="D496" s="182">
        <f>D495/C495-1</f>
        <v>0</v>
      </c>
      <c r="E496" s="182">
        <f t="shared" ref="E496:F496" si="56">E495/D495-1</f>
        <v>0</v>
      </c>
      <c r="F496" s="182">
        <f t="shared" si="56"/>
        <v>0</v>
      </c>
    </row>
    <row r="497" spans="2:6" ht="15.75" thickBot="1" x14ac:dyDescent="0.3">
      <c r="B497" s="65" t="s">
        <v>38</v>
      </c>
      <c r="C497" s="164">
        <f>C455+C377+C223+C199+C353+C301+C147+C69+C45</f>
        <v>30600</v>
      </c>
      <c r="D497" s="164">
        <f t="shared" ref="D497:F497" si="57">D455+D377+D223+D199+D353+D301+D147+D69+D45</f>
        <v>31000</v>
      </c>
      <c r="E497" s="164">
        <f t="shared" si="57"/>
        <v>31000</v>
      </c>
      <c r="F497" s="164">
        <f t="shared" si="57"/>
        <v>31000</v>
      </c>
    </row>
    <row r="498" spans="2:6" ht="15.75" thickBot="1" x14ac:dyDescent="0.3">
      <c r="B498" s="181" t="s">
        <v>91</v>
      </c>
      <c r="C498" s="164"/>
      <c r="D498" s="182">
        <f>D497/C497-1</f>
        <v>1.3071895424836555E-2</v>
      </c>
      <c r="E498" s="182">
        <f t="shared" ref="E498:F498" si="58">E497/D497-1</f>
        <v>0</v>
      </c>
      <c r="F498" s="182">
        <f t="shared" si="58"/>
        <v>0</v>
      </c>
    </row>
    <row r="499" spans="2:6" ht="15.75" thickBot="1" x14ac:dyDescent="0.3">
      <c r="B499" s="65" t="s">
        <v>92</v>
      </c>
      <c r="C499" s="164">
        <f>C90+C112+C168+C244+C266+C322+C398+C420+C476</f>
        <v>0</v>
      </c>
      <c r="D499" s="164">
        <f t="shared" ref="D499:F499" si="59">D90+D112+D168+D244+D266+D322+D398+D420+D476</f>
        <v>0</v>
      </c>
      <c r="E499" s="164">
        <f t="shared" si="59"/>
        <v>0</v>
      </c>
      <c r="F499" s="164">
        <f t="shared" si="59"/>
        <v>0</v>
      </c>
    </row>
    <row r="500" spans="2:6" ht="15.75" thickBot="1" x14ac:dyDescent="0.3">
      <c r="B500" s="181" t="s">
        <v>93</v>
      </c>
      <c r="C500" s="164"/>
      <c r="D500" s="182" t="e">
        <f>D499/C499-1</f>
        <v>#DIV/0!</v>
      </c>
      <c r="E500" s="182" t="e">
        <f t="shared" ref="E500:F500" si="60">E499/D499-1</f>
        <v>#DIV/0!</v>
      </c>
      <c r="F500" s="182" t="e">
        <f t="shared" si="60"/>
        <v>#DIV/0!</v>
      </c>
    </row>
    <row r="501" spans="2:6" ht="15.75" thickBot="1" x14ac:dyDescent="0.3">
      <c r="B501" s="65" t="s">
        <v>94</v>
      </c>
      <c r="C501" s="164">
        <f>C91+C113+C169+C245+C267+C323+C399+C421+C477</f>
        <v>2000</v>
      </c>
      <c r="D501" s="164">
        <f t="shared" ref="D501:F501" si="61">D91+D113+D169+D245+D267+D323+D399+D421+D477</f>
        <v>2000</v>
      </c>
      <c r="E501" s="164">
        <f t="shared" si="61"/>
        <v>2000</v>
      </c>
      <c r="F501" s="164">
        <f t="shared" si="61"/>
        <v>2000</v>
      </c>
    </row>
    <row r="502" spans="2:6" ht="15.75" thickBot="1" x14ac:dyDescent="0.3">
      <c r="B502" s="181" t="s">
        <v>95</v>
      </c>
      <c r="C502" s="165"/>
      <c r="D502" s="182">
        <f>D501/C501-1</f>
        <v>0</v>
      </c>
      <c r="E502" s="182">
        <f t="shared" ref="E502:F502" si="62">E501/D501-1</f>
        <v>0</v>
      </c>
      <c r="F502" s="182">
        <f t="shared" si="62"/>
        <v>0</v>
      </c>
    </row>
    <row r="503" spans="2:6" ht="15.75" thickBot="1" x14ac:dyDescent="0.3">
      <c r="B503" s="166" t="s">
        <v>41</v>
      </c>
      <c r="C503" s="167">
        <f>IF(C483-C482=0,0,"Error")</f>
        <v>0</v>
      </c>
      <c r="D503" s="167">
        <f t="shared" ref="D503:F503" si="63">IF(D483-D482=0,0,"Error")</f>
        <v>0</v>
      </c>
      <c r="E503" s="167">
        <f t="shared" si="63"/>
        <v>0</v>
      </c>
      <c r="F503" s="167">
        <f t="shared" si="63"/>
        <v>0</v>
      </c>
    </row>
    <row r="504" spans="2:6" ht="15.75" thickBot="1" x14ac:dyDescent="0.3">
      <c r="B504" s="183" t="s">
        <v>96</v>
      </c>
      <c r="C504" s="164">
        <v>29</v>
      </c>
      <c r="D504" s="164">
        <v>29</v>
      </c>
      <c r="E504" s="164">
        <v>29</v>
      </c>
      <c r="F504" s="164">
        <v>29</v>
      </c>
    </row>
    <row r="505" spans="2:6" ht="15.75" thickBot="1" x14ac:dyDescent="0.3">
      <c r="B505" s="183" t="s">
        <v>97</v>
      </c>
      <c r="C505" s="164">
        <v>0</v>
      </c>
      <c r="D505" s="164">
        <v>0</v>
      </c>
      <c r="E505" s="164">
        <v>0</v>
      </c>
      <c r="F505" s="164">
        <v>0</v>
      </c>
    </row>
    <row r="506" spans="2:6" x14ac:dyDescent="0.25">
      <c r="B506" s="184"/>
      <c r="C506" s="185"/>
      <c r="D506" s="185"/>
      <c r="E506" s="185"/>
      <c r="F506" s="185"/>
    </row>
  </sheetData>
  <mergeCells count="174">
    <mergeCell ref="C27:F27"/>
    <mergeCell ref="B28:B29"/>
    <mergeCell ref="B36:F36"/>
    <mergeCell ref="C78:F78"/>
    <mergeCell ref="B79:B80"/>
    <mergeCell ref="B87:F87"/>
    <mergeCell ref="B2:F2"/>
    <mergeCell ref="B3:F3"/>
    <mergeCell ref="C5:F5"/>
    <mergeCell ref="C6:F6"/>
    <mergeCell ref="C7:F7"/>
    <mergeCell ref="B8:F8"/>
    <mergeCell ref="B37:B38"/>
    <mergeCell ref="C49:F49"/>
    <mergeCell ref="C50:F50"/>
    <mergeCell ref="B24:F24"/>
    <mergeCell ref="C25:F25"/>
    <mergeCell ref="C26:F26"/>
    <mergeCell ref="B9:F11"/>
    <mergeCell ref="C12:F12"/>
    <mergeCell ref="B13:B14"/>
    <mergeCell ref="C18:F18"/>
    <mergeCell ref="B19:F19"/>
    <mergeCell ref="B23:F23"/>
    <mergeCell ref="B61:B62"/>
    <mergeCell ref="B73:F73"/>
    <mergeCell ref="B74:F74"/>
    <mergeCell ref="C75:F75"/>
    <mergeCell ref="C76:F76"/>
    <mergeCell ref="C77:F77"/>
    <mergeCell ref="C51:F51"/>
    <mergeCell ref="B52:B53"/>
    <mergeCell ref="B60:F60"/>
    <mergeCell ref="C97:F97"/>
    <mergeCell ref="C98:F98"/>
    <mergeCell ref="C99:F99"/>
    <mergeCell ref="C100:F100"/>
    <mergeCell ref="B101:B102"/>
    <mergeCell ref="B109:F109"/>
    <mergeCell ref="B88:B89"/>
    <mergeCell ref="B93:B95"/>
    <mergeCell ref="C93:F95"/>
    <mergeCell ref="C125:F125"/>
    <mergeCell ref="C126:F126"/>
    <mergeCell ref="C127:F127"/>
    <mergeCell ref="B128:B129"/>
    <mergeCell ref="B136:B137"/>
    <mergeCell ref="B138:F138"/>
    <mergeCell ref="B110:B111"/>
    <mergeCell ref="C116:F116"/>
    <mergeCell ref="B117:F117"/>
    <mergeCell ref="B121:F121"/>
    <mergeCell ref="B122:F122"/>
    <mergeCell ref="B123:B124"/>
    <mergeCell ref="C156:F156"/>
    <mergeCell ref="B157:B158"/>
    <mergeCell ref="B165:F165"/>
    <mergeCell ref="B166:B167"/>
    <mergeCell ref="C172:F172"/>
    <mergeCell ref="B173:F173"/>
    <mergeCell ref="B139:B140"/>
    <mergeCell ref="B151:F151"/>
    <mergeCell ref="B152:F152"/>
    <mergeCell ref="C153:F153"/>
    <mergeCell ref="C154:F154"/>
    <mergeCell ref="C155:F155"/>
    <mergeCell ref="B190:F190"/>
    <mergeCell ref="B191:B192"/>
    <mergeCell ref="C203:F203"/>
    <mergeCell ref="C204:F204"/>
    <mergeCell ref="C205:F205"/>
    <mergeCell ref="B206:B207"/>
    <mergeCell ref="B177:F177"/>
    <mergeCell ref="B178:F178"/>
    <mergeCell ref="C179:F179"/>
    <mergeCell ref="C180:F180"/>
    <mergeCell ref="C181:F181"/>
    <mergeCell ref="B182:B183"/>
    <mergeCell ref="C231:F231"/>
    <mergeCell ref="C232:F232"/>
    <mergeCell ref="B233:B234"/>
    <mergeCell ref="B241:F241"/>
    <mergeCell ref="B242:B243"/>
    <mergeCell ref="B247:B249"/>
    <mergeCell ref="C247:F249"/>
    <mergeCell ref="B214:F214"/>
    <mergeCell ref="B215:B216"/>
    <mergeCell ref="B227:F227"/>
    <mergeCell ref="B228:F228"/>
    <mergeCell ref="C229:F229"/>
    <mergeCell ref="C230:F230"/>
    <mergeCell ref="B264:B265"/>
    <mergeCell ref="C270:F270"/>
    <mergeCell ref="B271:F271"/>
    <mergeCell ref="B275:F275"/>
    <mergeCell ref="B276:F276"/>
    <mergeCell ref="B277:B278"/>
    <mergeCell ref="C251:F251"/>
    <mergeCell ref="C252:F252"/>
    <mergeCell ref="C253:F253"/>
    <mergeCell ref="C254:F254"/>
    <mergeCell ref="B255:B256"/>
    <mergeCell ref="B263:F263"/>
    <mergeCell ref="B293:B294"/>
    <mergeCell ref="B305:F305"/>
    <mergeCell ref="B306:F306"/>
    <mergeCell ref="C307:F307"/>
    <mergeCell ref="C308:F308"/>
    <mergeCell ref="C309:F309"/>
    <mergeCell ref="C279:F279"/>
    <mergeCell ref="C280:F280"/>
    <mergeCell ref="C281:F281"/>
    <mergeCell ref="B282:B283"/>
    <mergeCell ref="B290:B291"/>
    <mergeCell ref="B292:F292"/>
    <mergeCell ref="B331:F331"/>
    <mergeCell ref="B332:F332"/>
    <mergeCell ref="C333:F333"/>
    <mergeCell ref="C334:F334"/>
    <mergeCell ref="C335:F335"/>
    <mergeCell ref="B336:B337"/>
    <mergeCell ref="C310:F310"/>
    <mergeCell ref="B311:B312"/>
    <mergeCell ref="B319:F319"/>
    <mergeCell ref="B320:B321"/>
    <mergeCell ref="C326:F326"/>
    <mergeCell ref="B327:F327"/>
    <mergeCell ref="B368:F368"/>
    <mergeCell ref="B369:B370"/>
    <mergeCell ref="B381:F381"/>
    <mergeCell ref="B382:F382"/>
    <mergeCell ref="C383:F383"/>
    <mergeCell ref="C384:F384"/>
    <mergeCell ref="B344:F344"/>
    <mergeCell ref="B345:B346"/>
    <mergeCell ref="C357:F357"/>
    <mergeCell ref="C358:F358"/>
    <mergeCell ref="C359:F359"/>
    <mergeCell ref="B360:B361"/>
    <mergeCell ref="C405:F405"/>
    <mergeCell ref="C406:F406"/>
    <mergeCell ref="C407:F407"/>
    <mergeCell ref="C408:F408"/>
    <mergeCell ref="B409:B410"/>
    <mergeCell ref="B417:F417"/>
    <mergeCell ref="C385:F385"/>
    <mergeCell ref="C386:F386"/>
    <mergeCell ref="B387:B388"/>
    <mergeCell ref="B395:F395"/>
    <mergeCell ref="B396:B397"/>
    <mergeCell ref="B401:B403"/>
    <mergeCell ref="C401:F403"/>
    <mergeCell ref="C433:F433"/>
    <mergeCell ref="C434:F434"/>
    <mergeCell ref="C435:F435"/>
    <mergeCell ref="B436:B437"/>
    <mergeCell ref="B444:B445"/>
    <mergeCell ref="B446:F446"/>
    <mergeCell ref="B418:B419"/>
    <mergeCell ref="C424:F424"/>
    <mergeCell ref="B425:F425"/>
    <mergeCell ref="B429:F429"/>
    <mergeCell ref="B430:F430"/>
    <mergeCell ref="B431:B432"/>
    <mergeCell ref="C464:F464"/>
    <mergeCell ref="B465:B466"/>
    <mergeCell ref="B473:F473"/>
    <mergeCell ref="B474:B475"/>
    <mergeCell ref="B447:B448"/>
    <mergeCell ref="B459:F459"/>
    <mergeCell ref="B460:F460"/>
    <mergeCell ref="C461:F461"/>
    <mergeCell ref="C462:F462"/>
    <mergeCell ref="C463:F463"/>
  </mergeCells>
  <printOptions horizontalCentered="1" verticalCentered="1"/>
  <pageMargins left="0.7" right="0.7" top="0.75" bottom="0.75" header="0.3" footer="0.3"/>
  <pageSetup scale="57" orientation="portrait" r:id="rId1"/>
  <rowBreaks count="1" manualBreakCount="1">
    <brk id="7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300"/>
  <sheetViews>
    <sheetView topLeftCell="A268" workbookViewId="0">
      <selection activeCell="D278" sqref="D278"/>
    </sheetView>
  </sheetViews>
  <sheetFormatPr defaultRowHeight="15" x14ac:dyDescent="0.25"/>
  <cols>
    <col min="1" max="2" width="9.140625" style="152"/>
    <col min="3" max="3" width="35.7109375" style="152" customWidth="1"/>
    <col min="4" max="4" width="17.5703125" style="152" customWidth="1"/>
    <col min="5" max="5" width="22.28515625" style="152" customWidth="1"/>
    <col min="6" max="6" width="13.7109375" style="152" customWidth="1"/>
    <col min="7" max="7" width="17" style="152" customWidth="1"/>
    <col min="8" max="16384" width="9.140625" style="152"/>
  </cols>
  <sheetData>
    <row r="3" spans="3:7" x14ac:dyDescent="0.25">
      <c r="C3" s="1072" t="s">
        <v>0</v>
      </c>
      <c r="D3" s="1072"/>
      <c r="E3" s="1072"/>
      <c r="F3" s="1072"/>
      <c r="G3" s="1072"/>
    </row>
    <row r="4" spans="3:7" x14ac:dyDescent="0.25">
      <c r="C4" s="1073" t="s">
        <v>1</v>
      </c>
      <c r="D4" s="1073"/>
      <c r="E4" s="1073"/>
      <c r="F4" s="1073"/>
      <c r="G4" s="1073"/>
    </row>
    <row r="5" spans="3:7" ht="15.75" thickBot="1" x14ac:dyDescent="0.3">
      <c r="C5" s="90"/>
      <c r="D5" s="90"/>
      <c r="E5" s="90"/>
      <c r="F5" s="90"/>
      <c r="G5" s="90"/>
    </row>
    <row r="6" spans="3:7" ht="15.75" thickBot="1" x14ac:dyDescent="0.3">
      <c r="C6" s="153" t="s">
        <v>2</v>
      </c>
      <c r="D6" s="979" t="s">
        <v>1081</v>
      </c>
      <c r="E6" s="979"/>
      <c r="F6" s="979"/>
      <c r="G6" s="979"/>
    </row>
    <row r="7" spans="3:7" ht="15.75" thickBot="1" x14ac:dyDescent="0.3">
      <c r="C7" s="153" t="s">
        <v>3</v>
      </c>
      <c r="D7" s="1048" t="s">
        <v>1082</v>
      </c>
      <c r="E7" s="981"/>
      <c r="F7" s="981"/>
      <c r="G7" s="982"/>
    </row>
    <row r="8" spans="3:7" ht="15.75" thickBot="1" x14ac:dyDescent="0.3">
      <c r="C8" s="153" t="s">
        <v>5</v>
      </c>
      <c r="D8" s="983" t="s">
        <v>6</v>
      </c>
      <c r="E8" s="984"/>
      <c r="F8" s="984"/>
      <c r="G8" s="985"/>
    </row>
    <row r="9" spans="3:7" ht="15.75" thickBot="1" x14ac:dyDescent="0.3">
      <c r="C9" s="986" t="s">
        <v>7</v>
      </c>
      <c r="D9" s="987"/>
      <c r="E9" s="987"/>
      <c r="F9" s="987"/>
      <c r="G9" s="988"/>
    </row>
    <row r="10" spans="3:7" ht="15.75" thickBot="1" x14ac:dyDescent="0.3">
      <c r="C10" s="984" t="s">
        <v>1083</v>
      </c>
      <c r="D10" s="984"/>
      <c r="E10" s="984"/>
      <c r="F10" s="984"/>
      <c r="G10" s="985"/>
    </row>
    <row r="11" spans="3:7" ht="54" customHeight="1" thickBot="1" x14ac:dyDescent="0.3">
      <c r="C11" s="154" t="s">
        <v>8</v>
      </c>
      <c r="D11" s="1006" t="s">
        <v>1084</v>
      </c>
      <c r="E11" s="993"/>
      <c r="F11" s="993"/>
      <c r="G11" s="994"/>
    </row>
    <row r="12" spans="3:7" x14ac:dyDescent="0.25">
      <c r="C12" s="1067" t="s">
        <v>9</v>
      </c>
      <c r="D12" s="640">
        <v>2018</v>
      </c>
      <c r="E12" s="640">
        <v>2019</v>
      </c>
      <c r="F12" s="640">
        <v>2020</v>
      </c>
      <c r="G12" s="640">
        <v>2021</v>
      </c>
    </row>
    <row r="13" spans="3:7" ht="15.75" thickBot="1" x14ac:dyDescent="0.3">
      <c r="C13" s="1068"/>
      <c r="D13" s="641" t="s">
        <v>10</v>
      </c>
      <c r="E13" s="641" t="s">
        <v>11</v>
      </c>
      <c r="F13" s="641" t="s">
        <v>11</v>
      </c>
      <c r="G13" s="641" t="s">
        <v>11</v>
      </c>
    </row>
    <row r="14" spans="3:7" ht="30.75" thickBot="1" x14ac:dyDescent="0.3">
      <c r="C14" s="657" t="s">
        <v>1085</v>
      </c>
      <c r="D14" s="658">
        <v>0.75</v>
      </c>
      <c r="E14" s="658">
        <v>0.9</v>
      </c>
      <c r="F14" s="658">
        <v>0.95</v>
      </c>
      <c r="G14" s="658">
        <v>1</v>
      </c>
    </row>
    <row r="15" spans="3:7" ht="15.75" thickBot="1" x14ac:dyDescent="0.3">
      <c r="C15" s="158" t="s">
        <v>12</v>
      </c>
      <c r="D15" s="1069" t="s">
        <v>1086</v>
      </c>
      <c r="E15" s="1070"/>
      <c r="F15" s="1070"/>
      <c r="G15" s="1071"/>
    </row>
    <row r="16" spans="3:7" ht="15.75" thickBot="1" x14ac:dyDescent="0.3">
      <c r="C16" s="983" t="s">
        <v>13</v>
      </c>
      <c r="D16" s="984"/>
      <c r="E16" s="984"/>
      <c r="F16" s="984"/>
      <c r="G16" s="985"/>
    </row>
    <row r="17" spans="3:7" ht="30.75" thickBot="1" x14ac:dyDescent="0.3">
      <c r="C17" s="659" t="s">
        <v>1087</v>
      </c>
      <c r="D17" s="658">
        <v>0.56999999999999995</v>
      </c>
      <c r="E17" s="658">
        <v>0.7</v>
      </c>
      <c r="F17" s="658">
        <v>0.75</v>
      </c>
      <c r="G17" s="658">
        <v>0.75</v>
      </c>
    </row>
    <row r="18" spans="3:7" ht="15.75" thickBot="1" x14ac:dyDescent="0.3">
      <c r="C18" s="989" t="s">
        <v>14</v>
      </c>
      <c r="D18" s="990"/>
      <c r="E18" s="990"/>
      <c r="F18" s="990"/>
      <c r="G18" s="991"/>
    </row>
    <row r="19" spans="3:7" ht="15.75" thickBot="1" x14ac:dyDescent="0.3">
      <c r="C19" s="989" t="s">
        <v>104</v>
      </c>
      <c r="D19" s="990"/>
      <c r="E19" s="990"/>
      <c r="F19" s="990"/>
      <c r="G19" s="991"/>
    </row>
    <row r="20" spans="3:7" ht="15.75" thickBot="1" x14ac:dyDescent="0.3">
      <c r="C20" s="160" t="s">
        <v>16</v>
      </c>
      <c r="D20" s="983" t="s">
        <v>1088</v>
      </c>
      <c r="E20" s="984"/>
      <c r="F20" s="984"/>
      <c r="G20" s="985"/>
    </row>
    <row r="21" spans="3:7" ht="15.75" thickBot="1" x14ac:dyDescent="0.3">
      <c r="C21" s="62" t="s">
        <v>17</v>
      </c>
      <c r="D21" s="983" t="s">
        <v>1089</v>
      </c>
      <c r="E21" s="984"/>
      <c r="F21" s="984"/>
      <c r="G21" s="985"/>
    </row>
    <row r="22" spans="3:7" ht="15.75" thickBot="1" x14ac:dyDescent="0.3">
      <c r="C22" s="62" t="s">
        <v>18</v>
      </c>
      <c r="D22" s="995" t="s">
        <v>1090</v>
      </c>
      <c r="E22" s="996"/>
      <c r="F22" s="996"/>
      <c r="G22" s="997"/>
    </row>
    <row r="23" spans="3:7" x14ac:dyDescent="0.25">
      <c r="C23" s="998"/>
      <c r="D23" s="63">
        <v>2018</v>
      </c>
      <c r="E23" s="63">
        <v>2019</v>
      </c>
      <c r="F23" s="63">
        <v>2020</v>
      </c>
      <c r="G23" s="63">
        <v>2021</v>
      </c>
    </row>
    <row r="24" spans="3:7" ht="15.75" thickBot="1" x14ac:dyDescent="0.3">
      <c r="C24" s="999"/>
      <c r="D24" s="64" t="s">
        <v>10</v>
      </c>
      <c r="E24" s="64" t="s">
        <v>11</v>
      </c>
      <c r="F24" s="64" t="s">
        <v>11</v>
      </c>
      <c r="G24" s="64" t="s">
        <v>11</v>
      </c>
    </row>
    <row r="25" spans="3:7" ht="15.75" thickBot="1" x14ac:dyDescent="0.3">
      <c r="C25" s="62" t="s">
        <v>19</v>
      </c>
      <c r="D25" s="660">
        <v>138</v>
      </c>
      <c r="E25" s="660">
        <v>138</v>
      </c>
      <c r="F25" s="660">
        <v>138</v>
      </c>
      <c r="G25" s="660">
        <v>138</v>
      </c>
    </row>
    <row r="26" spans="3:7" ht="15.75" thickBot="1" x14ac:dyDescent="0.3">
      <c r="C26" s="62" t="s">
        <v>20</v>
      </c>
      <c r="D26" s="660">
        <v>329874</v>
      </c>
      <c r="E26" s="660">
        <v>321204</v>
      </c>
      <c r="F26" s="660">
        <v>322884</v>
      </c>
      <c r="G26" s="660">
        <v>323326</v>
      </c>
    </row>
    <row r="27" spans="3:7" ht="15.75" thickBot="1" x14ac:dyDescent="0.3">
      <c r="C27" s="62" t="s">
        <v>21</v>
      </c>
      <c r="D27" s="161">
        <f>D26/D25</f>
        <v>2390.391304347826</v>
      </c>
      <c r="E27" s="161">
        <f t="shared" ref="E27:G27" si="0">E26/E25</f>
        <v>2327.5652173913045</v>
      </c>
      <c r="F27" s="161">
        <f t="shared" si="0"/>
        <v>2339.7391304347825</v>
      </c>
      <c r="G27" s="161">
        <f t="shared" si="0"/>
        <v>2342.942028985507</v>
      </c>
    </row>
    <row r="28" spans="3:7" ht="15.75" thickBot="1" x14ac:dyDescent="0.3">
      <c r="C28" s="62" t="s">
        <v>22</v>
      </c>
      <c r="D28" s="636" t="s">
        <v>23</v>
      </c>
      <c r="E28" s="162">
        <f>E25/D25-1</f>
        <v>0</v>
      </c>
      <c r="F28" s="162">
        <f t="shared" ref="F28:G30" si="1">F25/E25-1</f>
        <v>0</v>
      </c>
      <c r="G28" s="162">
        <f t="shared" si="1"/>
        <v>0</v>
      </c>
    </row>
    <row r="29" spans="3:7" ht="15.75" thickBot="1" x14ac:dyDescent="0.3">
      <c r="C29" s="62" t="s">
        <v>24</v>
      </c>
      <c r="D29" s="636" t="s">
        <v>23</v>
      </c>
      <c r="E29" s="162">
        <f>E26/D26-1</f>
        <v>-2.6282762509321711E-2</v>
      </c>
      <c r="F29" s="162">
        <f t="shared" si="1"/>
        <v>5.230320917547715E-3</v>
      </c>
      <c r="G29" s="162">
        <f t="shared" si="1"/>
        <v>1.3689126745208835E-3</v>
      </c>
    </row>
    <row r="30" spans="3:7" ht="15.75" thickBot="1" x14ac:dyDescent="0.3">
      <c r="C30" s="62" t="s">
        <v>25</v>
      </c>
      <c r="D30" s="636" t="s">
        <v>23</v>
      </c>
      <c r="E30" s="162">
        <f>E27/D27-1</f>
        <v>-2.62827625093216E-2</v>
      </c>
      <c r="F30" s="162">
        <f t="shared" si="1"/>
        <v>5.230320917547715E-3</v>
      </c>
      <c r="G30" s="162">
        <f t="shared" si="1"/>
        <v>1.3689126745208835E-3</v>
      </c>
    </row>
    <row r="31" spans="3:7" ht="15.75" thickBot="1" x14ac:dyDescent="0.3">
      <c r="C31" s="1000" t="s">
        <v>784</v>
      </c>
      <c r="D31" s="1001"/>
      <c r="E31" s="1001"/>
      <c r="F31" s="1001"/>
      <c r="G31" s="1002"/>
    </row>
    <row r="32" spans="3:7" x14ac:dyDescent="0.25">
      <c r="C32" s="998"/>
      <c r="D32" s="63">
        <v>2018</v>
      </c>
      <c r="E32" s="63">
        <v>2019</v>
      </c>
      <c r="F32" s="63">
        <v>2020</v>
      </c>
      <c r="G32" s="63">
        <v>2021</v>
      </c>
    </row>
    <row r="33" spans="3:7" ht="15.75" thickBot="1" x14ac:dyDescent="0.3">
      <c r="C33" s="999"/>
      <c r="D33" s="64" t="s">
        <v>10</v>
      </c>
      <c r="E33" s="64" t="s">
        <v>11</v>
      </c>
      <c r="F33" s="64" t="s">
        <v>11</v>
      </c>
      <c r="G33" s="64" t="s">
        <v>11</v>
      </c>
    </row>
    <row r="34" spans="3:7" ht="15.75" thickBot="1" x14ac:dyDescent="0.3">
      <c r="C34" s="65" t="s">
        <v>26</v>
      </c>
      <c r="D34" s="165">
        <v>214608</v>
      </c>
      <c r="E34" s="165">
        <v>207708</v>
      </c>
      <c r="F34" s="165">
        <v>209388</v>
      </c>
      <c r="G34" s="165">
        <v>209653</v>
      </c>
    </row>
    <row r="35" spans="3:7" ht="30.75" thickBot="1" x14ac:dyDescent="0.3">
      <c r="C35" s="65" t="s">
        <v>28</v>
      </c>
      <c r="D35" s="165">
        <v>34766</v>
      </c>
      <c r="E35" s="165">
        <v>32996</v>
      </c>
      <c r="F35" s="165">
        <v>32996</v>
      </c>
      <c r="G35" s="165">
        <v>33173</v>
      </c>
    </row>
    <row r="36" spans="3:7" ht="15.75" thickBot="1" x14ac:dyDescent="0.3">
      <c r="C36" s="65" t="s">
        <v>30</v>
      </c>
      <c r="D36" s="165">
        <v>80350</v>
      </c>
      <c r="E36" s="164">
        <v>80350</v>
      </c>
      <c r="F36" s="164">
        <v>80350</v>
      </c>
      <c r="G36" s="164">
        <v>80350</v>
      </c>
    </row>
    <row r="37" spans="3:7" ht="15.75" thickBot="1" x14ac:dyDescent="0.3">
      <c r="C37" s="65" t="s">
        <v>32</v>
      </c>
      <c r="D37" s="165"/>
      <c r="E37" s="164"/>
      <c r="F37" s="164"/>
      <c r="G37" s="164"/>
    </row>
    <row r="38" spans="3:7" ht="15.75" thickBot="1" x14ac:dyDescent="0.3">
      <c r="C38" s="65" t="s">
        <v>34</v>
      </c>
      <c r="D38" s="165"/>
      <c r="E38" s="164"/>
      <c r="F38" s="164"/>
      <c r="G38" s="164"/>
    </row>
    <row r="39" spans="3:7" ht="15.75" thickBot="1" x14ac:dyDescent="0.3">
      <c r="C39" s="65" t="s">
        <v>36</v>
      </c>
      <c r="D39" s="165">
        <v>150</v>
      </c>
      <c r="E39" s="164">
        <v>150</v>
      </c>
      <c r="F39" s="164">
        <v>150</v>
      </c>
      <c r="G39" s="164">
        <v>150</v>
      </c>
    </row>
    <row r="40" spans="3:7" ht="30.75" thickBot="1" x14ac:dyDescent="0.3">
      <c r="C40" s="65" t="s">
        <v>38</v>
      </c>
      <c r="D40" s="165"/>
      <c r="E40" s="164"/>
      <c r="F40" s="164"/>
      <c r="G40" s="164"/>
    </row>
    <row r="41" spans="3:7" ht="15.75" thickBot="1" x14ac:dyDescent="0.3">
      <c r="C41" s="66" t="s">
        <v>40</v>
      </c>
      <c r="D41" s="165">
        <f>D40+D39+D38+D37+D36+D35+D34</f>
        <v>329874</v>
      </c>
      <c r="E41" s="165">
        <f>E40+E39+E38+E37+E36+E35+E34</f>
        <v>321204</v>
      </c>
      <c r="F41" s="165">
        <f>F40+F39+F38+F37+F36+F35+F34</f>
        <v>322884</v>
      </c>
      <c r="G41" s="165">
        <f>G40+G39+G38+G37+G36+G35+G34</f>
        <v>323326</v>
      </c>
    </row>
    <row r="42" spans="3:7" ht="15.75" thickBot="1" x14ac:dyDescent="0.3">
      <c r="C42" s="166" t="s">
        <v>41</v>
      </c>
      <c r="D42" s="167">
        <f>IF(D41-D26=0,0,"Error")</f>
        <v>0</v>
      </c>
      <c r="E42" s="167">
        <f>IF(E41-E26=0,0,"Error")</f>
        <v>0</v>
      </c>
      <c r="F42" s="167">
        <f>IF(F41-F26=0,0,"Error")</f>
        <v>0</v>
      </c>
      <c r="G42" s="167">
        <f>IF(G41-G26=0,0,"Error")</f>
        <v>0</v>
      </c>
    </row>
    <row r="43" spans="3:7" ht="15.75" thickBot="1" x14ac:dyDescent="0.3">
      <c r="C43" s="218" t="s">
        <v>42</v>
      </c>
      <c r="D43" s="992" t="s">
        <v>1091</v>
      </c>
      <c r="E43" s="993"/>
      <c r="F43" s="993"/>
      <c r="G43" s="994"/>
    </row>
    <row r="44" spans="3:7" ht="15.75" thickBot="1" x14ac:dyDescent="0.3">
      <c r="C44" s="62" t="s">
        <v>17</v>
      </c>
      <c r="D44" s="983" t="s">
        <v>1092</v>
      </c>
      <c r="E44" s="984"/>
      <c r="F44" s="984"/>
      <c r="G44" s="985"/>
    </row>
    <row r="45" spans="3:7" ht="15.75" thickBot="1" x14ac:dyDescent="0.3">
      <c r="C45" s="62" t="s">
        <v>18</v>
      </c>
      <c r="D45" s="995" t="s">
        <v>1090</v>
      </c>
      <c r="E45" s="996"/>
      <c r="F45" s="996"/>
      <c r="G45" s="997"/>
    </row>
    <row r="46" spans="3:7" ht="15.75" thickBot="1" x14ac:dyDescent="0.3">
      <c r="C46" s="62" t="s">
        <v>19</v>
      </c>
      <c r="D46" s="161">
        <v>18</v>
      </c>
      <c r="E46" s="161">
        <v>18</v>
      </c>
      <c r="F46" s="161">
        <v>18</v>
      </c>
      <c r="G46" s="161">
        <v>18</v>
      </c>
    </row>
    <row r="47" spans="3:7" x14ac:dyDescent="0.25">
      <c r="C47" s="998"/>
      <c r="D47" s="63">
        <v>2018</v>
      </c>
      <c r="E47" s="63">
        <v>2019</v>
      </c>
      <c r="F47" s="63">
        <v>2020</v>
      </c>
      <c r="G47" s="63">
        <v>2021</v>
      </c>
    </row>
    <row r="48" spans="3:7" ht="15.75" thickBot="1" x14ac:dyDescent="0.3">
      <c r="C48" s="999"/>
      <c r="D48" s="64" t="s">
        <v>10</v>
      </c>
      <c r="E48" s="64" t="s">
        <v>11</v>
      </c>
      <c r="F48" s="64" t="s">
        <v>11</v>
      </c>
      <c r="G48" s="64" t="s">
        <v>11</v>
      </c>
    </row>
    <row r="49" spans="3:7" ht="15.75" thickBot="1" x14ac:dyDescent="0.3">
      <c r="C49" s="62" t="s">
        <v>20</v>
      </c>
      <c r="D49" s="161">
        <f>D57+D58+D59+D62</f>
        <v>43026</v>
      </c>
      <c r="E49" s="161">
        <f>E57+E58+E59+E62</f>
        <v>41896</v>
      </c>
      <c r="F49" s="161">
        <f>F57+F58+F59+F62</f>
        <v>42116</v>
      </c>
      <c r="G49" s="161">
        <f>G57+G58+G59+G62</f>
        <v>42173</v>
      </c>
    </row>
    <row r="50" spans="3:7" ht="15.75" thickBot="1" x14ac:dyDescent="0.3">
      <c r="C50" s="62" t="s">
        <v>21</v>
      </c>
      <c r="D50" s="161">
        <f>D49/D46</f>
        <v>2390.3333333333335</v>
      </c>
      <c r="E50" s="161">
        <f>E49/E46</f>
        <v>2327.5555555555557</v>
      </c>
      <c r="F50" s="161">
        <f>F49/F46</f>
        <v>2339.7777777777778</v>
      </c>
      <c r="G50" s="161">
        <f>G49/G46</f>
        <v>2342.9444444444443</v>
      </c>
    </row>
    <row r="51" spans="3:7" ht="15.75" thickBot="1" x14ac:dyDescent="0.3">
      <c r="C51" s="62" t="s">
        <v>22</v>
      </c>
      <c r="D51" s="636"/>
      <c r="E51" s="162">
        <f>E46/D46-1</f>
        <v>0</v>
      </c>
      <c r="F51" s="162">
        <f>F46/E46-1</f>
        <v>0</v>
      </c>
      <c r="G51" s="162">
        <f>G46/F46-1</f>
        <v>0</v>
      </c>
    </row>
    <row r="52" spans="3:7" ht="15.75" thickBot="1" x14ac:dyDescent="0.3">
      <c r="C52" s="62" t="s">
        <v>24</v>
      </c>
      <c r="D52" s="636"/>
      <c r="E52" s="162">
        <f>E49/D49-1</f>
        <v>-2.6263189699251566E-2</v>
      </c>
      <c r="F52" s="162">
        <f t="shared" ref="F52:G53" si="2">F49/E49-1</f>
        <v>5.2510979568454186E-3</v>
      </c>
      <c r="G52" s="162">
        <f t="shared" si="2"/>
        <v>1.3534048817551714E-3</v>
      </c>
    </row>
    <row r="53" spans="3:7" ht="15.75" thickBot="1" x14ac:dyDescent="0.3">
      <c r="C53" s="62" t="s">
        <v>25</v>
      </c>
      <c r="D53" s="636"/>
      <c r="E53" s="162">
        <f>E50/D50-1</f>
        <v>-2.6263189699251677E-2</v>
      </c>
      <c r="F53" s="162">
        <f t="shared" si="2"/>
        <v>5.2510979568454186E-3</v>
      </c>
      <c r="G53" s="162">
        <f t="shared" si="2"/>
        <v>1.3534048817551714E-3</v>
      </c>
    </row>
    <row r="54" spans="3:7" ht="15.75" thickBot="1" x14ac:dyDescent="0.3">
      <c r="C54" s="1000" t="s">
        <v>796</v>
      </c>
      <c r="D54" s="1001"/>
      <c r="E54" s="1001"/>
      <c r="F54" s="1001"/>
      <c r="G54" s="1002"/>
    </row>
    <row r="55" spans="3:7" x14ac:dyDescent="0.25">
      <c r="C55" s="998"/>
      <c r="D55" s="63">
        <v>2018</v>
      </c>
      <c r="E55" s="63">
        <v>2019</v>
      </c>
      <c r="F55" s="63">
        <v>2020</v>
      </c>
      <c r="G55" s="63">
        <v>2021</v>
      </c>
    </row>
    <row r="56" spans="3:7" ht="15.75" thickBot="1" x14ac:dyDescent="0.3">
      <c r="C56" s="999"/>
      <c r="D56" s="64" t="s">
        <v>10</v>
      </c>
      <c r="E56" s="64" t="s">
        <v>11</v>
      </c>
      <c r="F56" s="64" t="s">
        <v>11</v>
      </c>
      <c r="G56" s="64" t="s">
        <v>11</v>
      </c>
    </row>
    <row r="57" spans="3:7" ht="15.75" thickBot="1" x14ac:dyDescent="0.3">
      <c r="C57" s="65" t="s">
        <v>26</v>
      </c>
      <c r="D57" s="164">
        <v>27992</v>
      </c>
      <c r="E57" s="164">
        <v>27092</v>
      </c>
      <c r="F57" s="164">
        <v>27312</v>
      </c>
      <c r="G57" s="164">
        <v>27346</v>
      </c>
    </row>
    <row r="58" spans="3:7" ht="30.75" thickBot="1" x14ac:dyDescent="0.3">
      <c r="C58" s="65" t="s">
        <v>28</v>
      </c>
      <c r="D58" s="164">
        <v>4534</v>
      </c>
      <c r="E58" s="164">
        <v>4304</v>
      </c>
      <c r="F58" s="164">
        <v>4304</v>
      </c>
      <c r="G58" s="164">
        <v>4327</v>
      </c>
    </row>
    <row r="59" spans="3:7" ht="15.75" thickBot="1" x14ac:dyDescent="0.3">
      <c r="C59" s="65" t="s">
        <v>30</v>
      </c>
      <c r="D59" s="165">
        <v>10500</v>
      </c>
      <c r="E59" s="164">
        <v>10500</v>
      </c>
      <c r="F59" s="164">
        <v>10500</v>
      </c>
      <c r="G59" s="164">
        <v>10500</v>
      </c>
    </row>
    <row r="60" spans="3:7" ht="15.75" thickBot="1" x14ac:dyDescent="0.3">
      <c r="C60" s="65" t="s">
        <v>32</v>
      </c>
      <c r="D60" s="165"/>
      <c r="E60" s="164"/>
      <c r="F60" s="164"/>
      <c r="G60" s="164"/>
    </row>
    <row r="61" spans="3:7" ht="15.75" thickBot="1" x14ac:dyDescent="0.3">
      <c r="C61" s="65" t="s">
        <v>34</v>
      </c>
      <c r="D61" s="165"/>
      <c r="E61" s="164"/>
      <c r="F61" s="164"/>
      <c r="G61" s="164"/>
    </row>
    <row r="62" spans="3:7" ht="15.75" thickBot="1" x14ac:dyDescent="0.3">
      <c r="C62" s="65" t="s">
        <v>36</v>
      </c>
      <c r="D62" s="165"/>
      <c r="E62" s="164"/>
      <c r="F62" s="164"/>
      <c r="G62" s="164"/>
    </row>
    <row r="63" spans="3:7" ht="30.75" thickBot="1" x14ac:dyDescent="0.3">
      <c r="C63" s="65" t="s">
        <v>38</v>
      </c>
      <c r="D63" s="165"/>
      <c r="E63" s="164"/>
      <c r="F63" s="164"/>
      <c r="G63" s="164"/>
    </row>
    <row r="64" spans="3:7" ht="15.75" thickBot="1" x14ac:dyDescent="0.3">
      <c r="C64" s="196" t="s">
        <v>1093</v>
      </c>
      <c r="D64" s="165">
        <f>D63+D62+D61+D60+D59+D58+D57</f>
        <v>43026</v>
      </c>
      <c r="E64" s="165">
        <f>E63+E62+E61+E60+E59+E58+E57</f>
        <v>41896</v>
      </c>
      <c r="F64" s="165">
        <f>F63+F62+F61+F60+F59+F58+F57</f>
        <v>42116</v>
      </c>
      <c r="G64" s="165">
        <f>G63+G62+G61+G60+G59+G58+G57</f>
        <v>42173</v>
      </c>
    </row>
    <row r="65" spans="3:7" ht="15.75" thickBot="1" x14ac:dyDescent="0.3">
      <c r="C65" s="166" t="s">
        <v>41</v>
      </c>
      <c r="D65" s="167">
        <f>IF(D64-D49=0,0,"Error")</f>
        <v>0</v>
      </c>
      <c r="E65" s="167">
        <f>IF(E64-E49=0,0,"Error")</f>
        <v>0</v>
      </c>
      <c r="F65" s="167">
        <f>IF(F64-F49=0,0,"Error")</f>
        <v>0</v>
      </c>
      <c r="G65" s="167">
        <f>IF(G64-G49=0,0,"Error")</f>
        <v>0</v>
      </c>
    </row>
    <row r="66" spans="3:7" ht="15.75" thickBot="1" x14ac:dyDescent="0.3">
      <c r="C66" s="989" t="s">
        <v>63</v>
      </c>
      <c r="D66" s="990"/>
      <c r="E66" s="990"/>
      <c r="F66" s="990"/>
      <c r="G66" s="991"/>
    </row>
    <row r="67" spans="3:7" ht="15.75" thickBot="1" x14ac:dyDescent="0.3">
      <c r="C67" s="989" t="s">
        <v>56</v>
      </c>
      <c r="D67" s="990"/>
      <c r="E67" s="990"/>
      <c r="F67" s="990"/>
      <c r="G67" s="991"/>
    </row>
    <row r="68" spans="3:7" ht="15.75" thickBot="1" x14ac:dyDescent="0.3">
      <c r="C68" s="67" t="s">
        <v>79</v>
      </c>
      <c r="D68" s="1074" t="s">
        <v>1094</v>
      </c>
      <c r="E68" s="1075"/>
      <c r="F68" s="1075"/>
      <c r="G68" s="1076"/>
    </row>
    <row r="69" spans="3:7" ht="15.75" thickBot="1" x14ac:dyDescent="0.3">
      <c r="C69" s="160" t="s">
        <v>16</v>
      </c>
      <c r="D69" s="992" t="s">
        <v>1091</v>
      </c>
      <c r="E69" s="993"/>
      <c r="F69" s="993"/>
      <c r="G69" s="994"/>
    </row>
    <row r="70" spans="3:7" ht="15.75" thickBot="1" x14ac:dyDescent="0.3">
      <c r="C70" s="62" t="s">
        <v>17</v>
      </c>
      <c r="D70" s="992" t="s">
        <v>1089</v>
      </c>
      <c r="E70" s="993"/>
      <c r="F70" s="993"/>
      <c r="G70" s="994"/>
    </row>
    <row r="71" spans="3:7" ht="15.75" thickBot="1" x14ac:dyDescent="0.3">
      <c r="C71" s="62" t="s">
        <v>18</v>
      </c>
      <c r="D71" s="995" t="s">
        <v>1090</v>
      </c>
      <c r="E71" s="996"/>
      <c r="F71" s="996"/>
      <c r="G71" s="997"/>
    </row>
    <row r="72" spans="3:7" x14ac:dyDescent="0.25">
      <c r="C72" s="998"/>
      <c r="D72" s="63">
        <v>2018</v>
      </c>
      <c r="E72" s="63">
        <v>2019</v>
      </c>
      <c r="F72" s="63">
        <v>2020</v>
      </c>
      <c r="G72" s="63">
        <v>2021</v>
      </c>
    </row>
    <row r="73" spans="3:7" ht="15.75" thickBot="1" x14ac:dyDescent="0.3">
      <c r="C73" s="999"/>
      <c r="D73" s="64" t="s">
        <v>10</v>
      </c>
      <c r="E73" s="64" t="s">
        <v>11</v>
      </c>
      <c r="F73" s="64" t="s">
        <v>11</v>
      </c>
      <c r="G73" s="64" t="s">
        <v>11</v>
      </c>
    </row>
    <row r="74" spans="3:7" ht="15.75" thickBot="1" x14ac:dyDescent="0.3">
      <c r="C74" s="62" t="s">
        <v>19</v>
      </c>
      <c r="D74" s="161">
        <v>138</v>
      </c>
      <c r="E74" s="161">
        <v>138</v>
      </c>
      <c r="F74" s="161"/>
      <c r="G74" s="161"/>
    </row>
    <row r="75" spans="3:7" ht="15.75" thickBot="1" x14ac:dyDescent="0.3">
      <c r="C75" s="62" t="s">
        <v>20</v>
      </c>
      <c r="D75" s="161">
        <v>3600</v>
      </c>
      <c r="E75" s="161">
        <v>3600</v>
      </c>
      <c r="F75" s="161"/>
      <c r="G75" s="161"/>
    </row>
    <row r="76" spans="3:7" ht="15.75" thickBot="1" x14ac:dyDescent="0.3">
      <c r="C76" s="62" t="s">
        <v>21</v>
      </c>
      <c r="D76" s="161">
        <f>D75/D74</f>
        <v>26.086956521739129</v>
      </c>
      <c r="E76" s="161">
        <f t="shared" ref="E76" si="3">E75/E74</f>
        <v>26.086956521739129</v>
      </c>
      <c r="F76" s="161">
        <v>0</v>
      </c>
      <c r="G76" s="161">
        <v>0</v>
      </c>
    </row>
    <row r="77" spans="3:7" ht="15.75" thickBot="1" x14ac:dyDescent="0.3">
      <c r="C77" s="62" t="s">
        <v>22</v>
      </c>
      <c r="D77" s="636" t="s">
        <v>23</v>
      </c>
      <c r="E77" s="162">
        <f>E74/D74-1</f>
        <v>0</v>
      </c>
      <c r="F77" s="162">
        <f t="shared" ref="F77:F79" si="4">F74/E74-1</f>
        <v>-1</v>
      </c>
      <c r="G77" s="162">
        <v>0</v>
      </c>
    </row>
    <row r="78" spans="3:7" ht="15.75" thickBot="1" x14ac:dyDescent="0.3">
      <c r="C78" s="62" t="s">
        <v>24</v>
      </c>
      <c r="D78" s="636" t="s">
        <v>23</v>
      </c>
      <c r="E78" s="162">
        <f>E75/D75-1</f>
        <v>0</v>
      </c>
      <c r="F78" s="162">
        <f t="shared" si="4"/>
        <v>-1</v>
      </c>
      <c r="G78" s="162">
        <v>0</v>
      </c>
    </row>
    <row r="79" spans="3:7" ht="15.75" thickBot="1" x14ac:dyDescent="0.3">
      <c r="C79" s="62" t="s">
        <v>25</v>
      </c>
      <c r="D79" s="636" t="s">
        <v>23</v>
      </c>
      <c r="E79" s="162">
        <f>E76/D76-1</f>
        <v>0</v>
      </c>
      <c r="F79" s="162">
        <f t="shared" si="4"/>
        <v>-1</v>
      </c>
      <c r="G79" s="162">
        <v>0</v>
      </c>
    </row>
    <row r="80" spans="3:7" ht="15.75" thickBot="1" x14ac:dyDescent="0.3">
      <c r="C80" s="1000" t="s">
        <v>784</v>
      </c>
      <c r="D80" s="1001"/>
      <c r="E80" s="1001"/>
      <c r="F80" s="1001"/>
      <c r="G80" s="1002"/>
    </row>
    <row r="81" spans="3:7" x14ac:dyDescent="0.25">
      <c r="C81" s="998"/>
      <c r="D81" s="63">
        <v>2018</v>
      </c>
      <c r="E81" s="63">
        <v>2019</v>
      </c>
      <c r="F81" s="63">
        <v>2020</v>
      </c>
      <c r="G81" s="63">
        <v>2021</v>
      </c>
    </row>
    <row r="82" spans="3:7" ht="15.75" thickBot="1" x14ac:dyDescent="0.3">
      <c r="C82" s="999"/>
      <c r="D82" s="64" t="s">
        <v>10</v>
      </c>
      <c r="E82" s="64" t="s">
        <v>11</v>
      </c>
      <c r="F82" s="64" t="s">
        <v>11</v>
      </c>
      <c r="G82" s="64" t="s">
        <v>11</v>
      </c>
    </row>
    <row r="83" spans="3:7" ht="15.75" thickBot="1" x14ac:dyDescent="0.3">
      <c r="C83" s="65" t="s">
        <v>58</v>
      </c>
      <c r="D83" s="164"/>
      <c r="E83" s="164"/>
      <c r="F83" s="164"/>
      <c r="G83" s="164"/>
    </row>
    <row r="84" spans="3:7" ht="15.75" thickBot="1" x14ac:dyDescent="0.3">
      <c r="C84" s="65" t="s">
        <v>59</v>
      </c>
      <c r="D84" s="165">
        <v>3600</v>
      </c>
      <c r="E84" s="164">
        <v>3600</v>
      </c>
      <c r="F84" s="164"/>
      <c r="G84" s="164"/>
    </row>
    <row r="85" spans="3:7" ht="15.75" thickBot="1" x14ac:dyDescent="0.3">
      <c r="C85" s="66" t="s">
        <v>40</v>
      </c>
      <c r="D85" s="165">
        <f>D84+D83</f>
        <v>3600</v>
      </c>
      <c r="E85" s="165">
        <f t="shared" ref="E85:G85" si="5">E84+E83</f>
        <v>3600</v>
      </c>
      <c r="F85" s="165"/>
      <c r="G85" s="165">
        <f t="shared" si="5"/>
        <v>0</v>
      </c>
    </row>
    <row r="86" spans="3:7" x14ac:dyDescent="0.25">
      <c r="C86" s="1015" t="s">
        <v>60</v>
      </c>
      <c r="D86" s="1036" t="s">
        <v>1095</v>
      </c>
      <c r="E86" s="1037"/>
      <c r="F86" s="1037"/>
      <c r="G86" s="1038"/>
    </row>
    <row r="87" spans="3:7" x14ac:dyDescent="0.25">
      <c r="C87" s="1016"/>
      <c r="D87" s="1039"/>
      <c r="E87" s="1040"/>
      <c r="F87" s="1040"/>
      <c r="G87" s="1041"/>
    </row>
    <row r="88" spans="3:7" ht="15.75" thickBot="1" x14ac:dyDescent="0.3">
      <c r="C88" s="1017"/>
      <c r="D88" s="1042"/>
      <c r="E88" s="1043"/>
      <c r="F88" s="1043"/>
      <c r="G88" s="1044"/>
    </row>
    <row r="89" spans="3:7" ht="15.75" thickBot="1" x14ac:dyDescent="0.3">
      <c r="C89" s="67" t="s">
        <v>61</v>
      </c>
      <c r="D89" s="983" t="s">
        <v>1096</v>
      </c>
      <c r="E89" s="984"/>
      <c r="F89" s="984"/>
      <c r="G89" s="985"/>
    </row>
    <row r="90" spans="3:7" ht="15.75" thickBot="1" x14ac:dyDescent="0.3">
      <c r="C90" s="160" t="s">
        <v>1097</v>
      </c>
      <c r="D90" s="992" t="s">
        <v>1098</v>
      </c>
      <c r="E90" s="993"/>
      <c r="F90" s="993"/>
      <c r="G90" s="994"/>
    </row>
    <row r="91" spans="3:7" ht="15.75" thickBot="1" x14ac:dyDescent="0.3">
      <c r="C91" s="62" t="s">
        <v>17</v>
      </c>
      <c r="D91" s="992" t="s">
        <v>1089</v>
      </c>
      <c r="E91" s="993"/>
      <c r="F91" s="993"/>
      <c r="G91" s="994"/>
    </row>
    <row r="92" spans="3:7" ht="15.75" thickBot="1" x14ac:dyDescent="0.3">
      <c r="C92" s="62" t="s">
        <v>18</v>
      </c>
      <c r="D92" s="995" t="s">
        <v>1090</v>
      </c>
      <c r="E92" s="996"/>
      <c r="F92" s="996"/>
      <c r="G92" s="997"/>
    </row>
    <row r="93" spans="3:7" x14ac:dyDescent="0.25">
      <c r="C93" s="998"/>
      <c r="D93" s="63">
        <v>2018</v>
      </c>
      <c r="E93" s="63">
        <v>2019</v>
      </c>
      <c r="F93" s="63">
        <v>2020</v>
      </c>
      <c r="G93" s="63">
        <v>2021</v>
      </c>
    </row>
    <row r="94" spans="3:7" ht="15.75" thickBot="1" x14ac:dyDescent="0.3">
      <c r="C94" s="999"/>
      <c r="D94" s="64" t="s">
        <v>10</v>
      </c>
      <c r="E94" s="64" t="s">
        <v>11</v>
      </c>
      <c r="F94" s="64" t="s">
        <v>11</v>
      </c>
      <c r="G94" s="64" t="s">
        <v>11</v>
      </c>
    </row>
    <row r="95" spans="3:7" ht="15.75" thickBot="1" x14ac:dyDescent="0.3">
      <c r="C95" s="62" t="s">
        <v>19</v>
      </c>
      <c r="D95" s="660">
        <v>138</v>
      </c>
      <c r="E95" s="660">
        <v>138</v>
      </c>
      <c r="F95" s="660">
        <v>138</v>
      </c>
      <c r="G95" s="660">
        <v>138</v>
      </c>
    </row>
    <row r="96" spans="3:7" ht="15.75" thickBot="1" x14ac:dyDescent="0.3">
      <c r="C96" s="62" t="s">
        <v>20</v>
      </c>
      <c r="D96" s="161">
        <v>13300</v>
      </c>
      <c r="E96" s="161">
        <v>14500</v>
      </c>
      <c r="F96" s="161">
        <v>17690</v>
      </c>
      <c r="G96" s="161">
        <v>17690</v>
      </c>
    </row>
    <row r="97" spans="3:7" ht="15.75" thickBot="1" x14ac:dyDescent="0.3">
      <c r="C97" s="62" t="s">
        <v>21</v>
      </c>
      <c r="D97" s="161">
        <f>D96/D95</f>
        <v>96.376811594202906</v>
      </c>
      <c r="E97" s="161">
        <f t="shared" ref="E97:G97" si="6">E96/E95</f>
        <v>105.07246376811594</v>
      </c>
      <c r="F97" s="161">
        <f t="shared" si="6"/>
        <v>128.18840579710144</v>
      </c>
      <c r="G97" s="161">
        <f t="shared" si="6"/>
        <v>128.18840579710144</v>
      </c>
    </row>
    <row r="98" spans="3:7" ht="15.75" thickBot="1" x14ac:dyDescent="0.3">
      <c r="C98" s="62" t="s">
        <v>22</v>
      </c>
      <c r="D98" s="636" t="s">
        <v>23</v>
      </c>
      <c r="E98" s="162">
        <f>E95/D95-1</f>
        <v>0</v>
      </c>
      <c r="F98" s="162">
        <f t="shared" ref="F98:G100" si="7">F95/E95-1</f>
        <v>0</v>
      </c>
      <c r="G98" s="162">
        <f t="shared" si="7"/>
        <v>0</v>
      </c>
    </row>
    <row r="99" spans="3:7" ht="15.75" thickBot="1" x14ac:dyDescent="0.3">
      <c r="C99" s="62" t="s">
        <v>24</v>
      </c>
      <c r="D99" s="636" t="s">
        <v>23</v>
      </c>
      <c r="E99" s="162">
        <f>E96/D96-1</f>
        <v>9.0225563909774431E-2</v>
      </c>
      <c r="F99" s="162">
        <f t="shared" si="7"/>
        <v>0.21999999999999997</v>
      </c>
      <c r="G99" s="162">
        <f t="shared" si="7"/>
        <v>0</v>
      </c>
    </row>
    <row r="100" spans="3:7" ht="15.75" thickBot="1" x14ac:dyDescent="0.3">
      <c r="C100" s="62" t="s">
        <v>25</v>
      </c>
      <c r="D100" s="636" t="s">
        <v>23</v>
      </c>
      <c r="E100" s="162">
        <f>E97/D97-1</f>
        <v>9.0225563909774209E-2</v>
      </c>
      <c r="F100" s="162">
        <f t="shared" si="7"/>
        <v>0.21999999999999997</v>
      </c>
      <c r="G100" s="162">
        <f t="shared" si="7"/>
        <v>0</v>
      </c>
    </row>
    <row r="101" spans="3:7" ht="15.75" thickBot="1" x14ac:dyDescent="0.3">
      <c r="C101" s="1000" t="s">
        <v>1102</v>
      </c>
      <c r="D101" s="1001"/>
      <c r="E101" s="1001"/>
      <c r="F101" s="1001"/>
      <c r="G101" s="1002"/>
    </row>
    <row r="102" spans="3:7" x14ac:dyDescent="0.25">
      <c r="C102" s="998"/>
      <c r="D102" s="63">
        <v>2018</v>
      </c>
      <c r="E102" s="63">
        <v>2019</v>
      </c>
      <c r="F102" s="63">
        <v>2020</v>
      </c>
      <c r="G102" s="63">
        <v>2021</v>
      </c>
    </row>
    <row r="103" spans="3:7" ht="15.75" thickBot="1" x14ac:dyDescent="0.3">
      <c r="C103" s="999"/>
      <c r="D103" s="64" t="s">
        <v>10</v>
      </c>
      <c r="E103" s="64" t="s">
        <v>11</v>
      </c>
      <c r="F103" s="64" t="s">
        <v>11</v>
      </c>
      <c r="G103" s="64" t="s">
        <v>11</v>
      </c>
    </row>
    <row r="104" spans="3:7" ht="15.75" thickBot="1" x14ac:dyDescent="0.3">
      <c r="C104" s="65" t="s">
        <v>58</v>
      </c>
      <c r="D104" s="164"/>
      <c r="E104" s="164"/>
      <c r="F104" s="164"/>
      <c r="G104" s="164"/>
    </row>
    <row r="105" spans="3:7" ht="15.75" thickBot="1" x14ac:dyDescent="0.3">
      <c r="C105" s="65" t="s">
        <v>59</v>
      </c>
      <c r="D105" s="165">
        <v>13300</v>
      </c>
      <c r="E105" s="164">
        <v>14500</v>
      </c>
      <c r="F105" s="164">
        <v>17690</v>
      </c>
      <c r="G105" s="164">
        <v>17690</v>
      </c>
    </row>
    <row r="106" spans="3:7" ht="15.75" thickBot="1" x14ac:dyDescent="0.3">
      <c r="C106" s="66" t="s">
        <v>40</v>
      </c>
      <c r="D106" s="165">
        <f>D105+D104</f>
        <v>13300</v>
      </c>
      <c r="E106" s="165">
        <f t="shared" ref="E106:G106" si="8">E105+E104</f>
        <v>14500</v>
      </c>
      <c r="F106" s="165">
        <f t="shared" si="8"/>
        <v>17690</v>
      </c>
      <c r="G106" s="165">
        <f t="shared" si="8"/>
        <v>17690</v>
      </c>
    </row>
    <row r="107" spans="3:7" ht="15.75" thickBot="1" x14ac:dyDescent="0.3">
      <c r="C107" s="989" t="s">
        <v>63</v>
      </c>
      <c r="D107" s="990"/>
      <c r="E107" s="990"/>
      <c r="F107" s="990"/>
      <c r="G107" s="991"/>
    </row>
    <row r="108" spans="3:7" ht="15.75" thickBot="1" x14ac:dyDescent="0.3">
      <c r="C108" s="989" t="s">
        <v>64</v>
      </c>
      <c r="D108" s="990"/>
      <c r="E108" s="990"/>
      <c r="F108" s="990"/>
      <c r="G108" s="991"/>
    </row>
    <row r="109" spans="3:7" ht="15.75" thickBot="1" x14ac:dyDescent="0.3">
      <c r="C109" s="67" t="s">
        <v>61</v>
      </c>
      <c r="D109" s="1009" t="s">
        <v>1094</v>
      </c>
      <c r="E109" s="1010"/>
      <c r="F109" s="1010"/>
      <c r="G109" s="1011"/>
    </row>
    <row r="110" spans="3:7" ht="15.75" thickBot="1" x14ac:dyDescent="0.3">
      <c r="C110" s="160" t="s">
        <v>16</v>
      </c>
      <c r="D110" s="992" t="s">
        <v>1098</v>
      </c>
      <c r="E110" s="993"/>
      <c r="F110" s="993"/>
      <c r="G110" s="994"/>
    </row>
    <row r="111" spans="3:7" ht="15.75" thickBot="1" x14ac:dyDescent="0.3">
      <c r="C111" s="62" t="s">
        <v>17</v>
      </c>
      <c r="D111" s="992" t="s">
        <v>1089</v>
      </c>
      <c r="E111" s="993"/>
      <c r="F111" s="993"/>
      <c r="G111" s="994"/>
    </row>
    <row r="112" spans="3:7" ht="15.75" thickBot="1" x14ac:dyDescent="0.3">
      <c r="C112" s="62" t="s">
        <v>18</v>
      </c>
      <c r="D112" s="995" t="s">
        <v>1099</v>
      </c>
      <c r="E112" s="996"/>
      <c r="F112" s="996"/>
      <c r="G112" s="997"/>
    </row>
    <row r="113" spans="3:7" x14ac:dyDescent="0.25">
      <c r="C113" s="998"/>
      <c r="D113" s="63">
        <v>2018</v>
      </c>
      <c r="E113" s="63">
        <v>2019</v>
      </c>
      <c r="F113" s="63">
        <v>2020</v>
      </c>
      <c r="G113" s="63">
        <v>2021</v>
      </c>
    </row>
    <row r="114" spans="3:7" ht="15.75" thickBot="1" x14ac:dyDescent="0.3">
      <c r="C114" s="999"/>
      <c r="D114" s="64" t="s">
        <v>10</v>
      </c>
      <c r="E114" s="64" t="s">
        <v>11</v>
      </c>
      <c r="F114" s="64" t="s">
        <v>11</v>
      </c>
      <c r="G114" s="64" t="s">
        <v>11</v>
      </c>
    </row>
    <row r="115" spans="3:7" ht="15.75" thickBot="1" x14ac:dyDescent="0.3">
      <c r="C115" s="62" t="s">
        <v>19</v>
      </c>
      <c r="D115" s="161">
        <v>138</v>
      </c>
      <c r="E115" s="161"/>
      <c r="F115" s="161"/>
      <c r="G115" s="161"/>
    </row>
    <row r="116" spans="3:7" ht="15.75" thickBot="1" x14ac:dyDescent="0.3">
      <c r="C116" s="62" t="s">
        <v>20</v>
      </c>
      <c r="D116" s="161">
        <v>1400</v>
      </c>
      <c r="E116" s="161"/>
      <c r="F116" s="161"/>
      <c r="G116" s="161"/>
    </row>
    <row r="117" spans="3:7" ht="15.75" thickBot="1" x14ac:dyDescent="0.3">
      <c r="C117" s="62" t="s">
        <v>21</v>
      </c>
      <c r="D117" s="161">
        <f>D116/D115</f>
        <v>10.144927536231885</v>
      </c>
      <c r="E117" s="161">
        <v>0</v>
      </c>
      <c r="F117" s="161">
        <v>0</v>
      </c>
      <c r="G117" s="161">
        <v>0</v>
      </c>
    </row>
    <row r="118" spans="3:7" ht="15.75" thickBot="1" x14ac:dyDescent="0.3">
      <c r="C118" s="62" t="s">
        <v>22</v>
      </c>
      <c r="D118" s="636" t="s">
        <v>23</v>
      </c>
      <c r="E118" s="162">
        <f>E115/D115-1</f>
        <v>-1</v>
      </c>
      <c r="F118" s="162">
        <v>0</v>
      </c>
      <c r="G118" s="162">
        <v>0</v>
      </c>
    </row>
    <row r="119" spans="3:7" ht="15.75" thickBot="1" x14ac:dyDescent="0.3">
      <c r="C119" s="62" t="s">
        <v>24</v>
      </c>
      <c r="D119" s="636" t="s">
        <v>23</v>
      </c>
      <c r="E119" s="162">
        <f>E116/D116-1</f>
        <v>-1</v>
      </c>
      <c r="F119" s="162">
        <v>0</v>
      </c>
      <c r="G119" s="162">
        <v>0</v>
      </c>
    </row>
    <row r="120" spans="3:7" ht="15.75" thickBot="1" x14ac:dyDescent="0.3">
      <c r="C120" s="62" t="s">
        <v>25</v>
      </c>
      <c r="D120" s="636" t="s">
        <v>23</v>
      </c>
      <c r="E120" s="162">
        <f>E117/D117-1</f>
        <v>-1</v>
      </c>
      <c r="F120" s="162">
        <v>0</v>
      </c>
      <c r="G120" s="162">
        <v>0</v>
      </c>
    </row>
    <row r="121" spans="3:7" ht="15.75" thickBot="1" x14ac:dyDescent="0.3">
      <c r="C121" s="1000" t="s">
        <v>784</v>
      </c>
      <c r="D121" s="1001"/>
      <c r="E121" s="1001"/>
      <c r="F121" s="1001"/>
      <c r="G121" s="1002"/>
    </row>
    <row r="122" spans="3:7" x14ac:dyDescent="0.25">
      <c r="C122" s="998"/>
      <c r="D122" s="63">
        <v>2018</v>
      </c>
      <c r="E122" s="63">
        <v>2019</v>
      </c>
      <c r="F122" s="63">
        <v>2020</v>
      </c>
      <c r="G122" s="63">
        <v>2021</v>
      </c>
    </row>
    <row r="123" spans="3:7" ht="15.75" thickBot="1" x14ac:dyDescent="0.3">
      <c r="C123" s="999"/>
      <c r="D123" s="64" t="s">
        <v>10</v>
      </c>
      <c r="E123" s="64" t="s">
        <v>11</v>
      </c>
      <c r="F123" s="64" t="s">
        <v>11</v>
      </c>
      <c r="G123" s="64" t="s">
        <v>11</v>
      </c>
    </row>
    <row r="124" spans="3:7" ht="15.75" thickBot="1" x14ac:dyDescent="0.3">
      <c r="C124" s="65" t="s">
        <v>58</v>
      </c>
      <c r="D124" s="164">
        <v>1400</v>
      </c>
      <c r="E124" s="164"/>
      <c r="F124" s="164"/>
      <c r="G124" s="164"/>
    </row>
    <row r="125" spans="3:7" ht="15.75" thickBot="1" x14ac:dyDescent="0.3">
      <c r="C125" s="65" t="s">
        <v>59</v>
      </c>
      <c r="D125" s="165"/>
      <c r="E125" s="164"/>
      <c r="F125" s="164"/>
      <c r="G125" s="164"/>
    </row>
    <row r="126" spans="3:7" ht="15.75" thickBot="1" x14ac:dyDescent="0.3">
      <c r="C126" s="66" t="s">
        <v>40</v>
      </c>
      <c r="D126" s="165">
        <f>D125+D124</f>
        <v>1400</v>
      </c>
      <c r="E126" s="165">
        <f t="shared" ref="E126:G126" si="9">E125+E124</f>
        <v>0</v>
      </c>
      <c r="F126" s="165">
        <f t="shared" si="9"/>
        <v>0</v>
      </c>
      <c r="G126" s="165">
        <f t="shared" si="9"/>
        <v>0</v>
      </c>
    </row>
    <row r="127" spans="3:7" ht="15.75" thickBot="1" x14ac:dyDescent="0.3">
      <c r="C127" s="197" t="s">
        <v>61</v>
      </c>
      <c r="D127" s="1009" t="s">
        <v>130</v>
      </c>
      <c r="E127" s="1010"/>
      <c r="F127" s="1010"/>
      <c r="G127" s="1011"/>
    </row>
    <row r="128" spans="3:7" ht="30.75" thickBot="1" x14ac:dyDescent="0.3">
      <c r="C128" s="160" t="s">
        <v>129</v>
      </c>
      <c r="D128" s="992" t="s">
        <v>106</v>
      </c>
      <c r="E128" s="993"/>
      <c r="F128" s="993"/>
      <c r="G128" s="994"/>
    </row>
    <row r="129" spans="3:7" ht="15.75" thickBot="1" x14ac:dyDescent="0.3">
      <c r="C129" s="62" t="s">
        <v>17</v>
      </c>
      <c r="D129" s="983" t="s">
        <v>106</v>
      </c>
      <c r="E129" s="984"/>
      <c r="F129" s="984"/>
      <c r="G129" s="985"/>
    </row>
    <row r="130" spans="3:7" ht="15.75" thickBot="1" x14ac:dyDescent="0.3">
      <c r="C130" s="62" t="s">
        <v>18</v>
      </c>
      <c r="D130" s="995" t="s">
        <v>106</v>
      </c>
      <c r="E130" s="996"/>
      <c r="F130" s="996"/>
      <c r="G130" s="997"/>
    </row>
    <row r="131" spans="3:7" x14ac:dyDescent="0.25">
      <c r="C131" s="998"/>
      <c r="D131" s="63">
        <v>2018</v>
      </c>
      <c r="E131" s="63">
        <v>2019</v>
      </c>
      <c r="F131" s="63">
        <v>2020</v>
      </c>
      <c r="G131" s="63">
        <v>2021</v>
      </c>
    </row>
    <row r="132" spans="3:7" ht="15.75" thickBot="1" x14ac:dyDescent="0.3">
      <c r="C132" s="999"/>
      <c r="D132" s="64" t="s">
        <v>10</v>
      </c>
      <c r="E132" s="64" t="s">
        <v>11</v>
      </c>
      <c r="F132" s="64" t="s">
        <v>11</v>
      </c>
      <c r="G132" s="64" t="s">
        <v>11</v>
      </c>
    </row>
    <row r="133" spans="3:7" ht="15.75" thickBot="1" x14ac:dyDescent="0.3">
      <c r="C133" s="62" t="s">
        <v>19</v>
      </c>
      <c r="D133" s="161"/>
      <c r="E133" s="161"/>
      <c r="F133" s="161"/>
      <c r="G133" s="161"/>
    </row>
    <row r="134" spans="3:7" ht="15.75" thickBot="1" x14ac:dyDescent="0.3">
      <c r="C134" s="62" t="s">
        <v>20</v>
      </c>
      <c r="D134" s="161"/>
      <c r="E134" s="161"/>
      <c r="F134" s="161"/>
      <c r="G134" s="161"/>
    </row>
    <row r="135" spans="3:7" ht="15.75" thickBot="1" x14ac:dyDescent="0.3">
      <c r="C135" s="62" t="s">
        <v>21</v>
      </c>
      <c r="D135" s="161" t="e">
        <f>D134/D133</f>
        <v>#DIV/0!</v>
      </c>
      <c r="E135" s="161" t="e">
        <f t="shared" ref="E135:G135" si="10">E134/E133</f>
        <v>#DIV/0!</v>
      </c>
      <c r="F135" s="161" t="e">
        <f t="shared" si="10"/>
        <v>#DIV/0!</v>
      </c>
      <c r="G135" s="161" t="e">
        <f t="shared" si="10"/>
        <v>#DIV/0!</v>
      </c>
    </row>
    <row r="136" spans="3:7" ht="15.75" thickBot="1" x14ac:dyDescent="0.3">
      <c r="C136" s="62" t="s">
        <v>22</v>
      </c>
      <c r="D136" s="636" t="s">
        <v>23</v>
      </c>
      <c r="E136" s="162" t="e">
        <f>E133/D133-1</f>
        <v>#DIV/0!</v>
      </c>
      <c r="F136" s="162" t="e">
        <f t="shared" ref="F136:G138" si="11">F133/E133-1</f>
        <v>#DIV/0!</v>
      </c>
      <c r="G136" s="162" t="e">
        <f t="shared" si="11"/>
        <v>#DIV/0!</v>
      </c>
    </row>
    <row r="137" spans="3:7" ht="15.75" thickBot="1" x14ac:dyDescent="0.3">
      <c r="C137" s="62" t="s">
        <v>24</v>
      </c>
      <c r="D137" s="636" t="s">
        <v>23</v>
      </c>
      <c r="E137" s="162" t="e">
        <f>E134/D134-1</f>
        <v>#DIV/0!</v>
      </c>
      <c r="F137" s="162" t="e">
        <f t="shared" si="11"/>
        <v>#DIV/0!</v>
      </c>
      <c r="G137" s="162" t="e">
        <f t="shared" si="11"/>
        <v>#DIV/0!</v>
      </c>
    </row>
    <row r="138" spans="3:7" ht="15.75" thickBot="1" x14ac:dyDescent="0.3">
      <c r="C138" s="62" t="s">
        <v>25</v>
      </c>
      <c r="D138" s="636" t="s">
        <v>23</v>
      </c>
      <c r="E138" s="162" t="e">
        <f>E135/D135-1</f>
        <v>#DIV/0!</v>
      </c>
      <c r="F138" s="162" t="e">
        <f t="shared" si="11"/>
        <v>#DIV/0!</v>
      </c>
      <c r="G138" s="162" t="e">
        <f t="shared" si="11"/>
        <v>#DIV/0!</v>
      </c>
    </row>
    <row r="139" spans="3:7" ht="15.75" thickBot="1" x14ac:dyDescent="0.3">
      <c r="C139" s="1000" t="s">
        <v>793</v>
      </c>
      <c r="D139" s="1001"/>
      <c r="E139" s="1001"/>
      <c r="F139" s="1001"/>
      <c r="G139" s="1002"/>
    </row>
    <row r="140" spans="3:7" ht="15.75" thickBot="1" x14ac:dyDescent="0.3">
      <c r="C140" s="636"/>
      <c r="D140" s="64" t="s">
        <v>10</v>
      </c>
      <c r="E140" s="64" t="s">
        <v>11</v>
      </c>
      <c r="F140" s="64" t="s">
        <v>11</v>
      </c>
      <c r="G140" s="64" t="s">
        <v>11</v>
      </c>
    </row>
    <row r="141" spans="3:7" ht="15.75" thickBot="1" x14ac:dyDescent="0.3">
      <c r="C141" s="65" t="s">
        <v>58</v>
      </c>
      <c r="D141" s="164"/>
      <c r="E141" s="164"/>
      <c r="F141" s="164"/>
      <c r="G141" s="164"/>
    </row>
    <row r="142" spans="3:7" ht="15.75" thickBot="1" x14ac:dyDescent="0.3">
      <c r="C142" s="65" t="s">
        <v>59</v>
      </c>
      <c r="D142" s="165"/>
      <c r="E142" s="164"/>
      <c r="F142" s="164"/>
      <c r="G142" s="164"/>
    </row>
    <row r="143" spans="3:7" ht="15.75" thickBot="1" x14ac:dyDescent="0.3">
      <c r="C143" s="66" t="s">
        <v>74</v>
      </c>
      <c r="D143" s="165">
        <f>D142+D141</f>
        <v>0</v>
      </c>
      <c r="E143" s="165">
        <f t="shared" ref="E143:G143" si="12">E142+E141</f>
        <v>0</v>
      </c>
      <c r="F143" s="165">
        <f t="shared" si="12"/>
        <v>0</v>
      </c>
      <c r="G143" s="165">
        <f t="shared" si="12"/>
        <v>0</v>
      </c>
    </row>
    <row r="144" spans="3:7" ht="15.75" thickBot="1" x14ac:dyDescent="0.3">
      <c r="C144" s="154" t="s">
        <v>67</v>
      </c>
      <c r="D144" s="992" t="s">
        <v>106</v>
      </c>
      <c r="E144" s="993"/>
      <c r="F144" s="993"/>
      <c r="G144" s="994"/>
    </row>
    <row r="145" spans="3:7" ht="15.75" thickBot="1" x14ac:dyDescent="0.3">
      <c r="C145" s="983" t="s">
        <v>68</v>
      </c>
      <c r="D145" s="984"/>
      <c r="E145" s="984"/>
      <c r="F145" s="984"/>
      <c r="G145" s="985"/>
    </row>
    <row r="146" spans="3:7" ht="15.75" thickBot="1" x14ac:dyDescent="0.3">
      <c r="C146" s="637" t="s">
        <v>211</v>
      </c>
      <c r="D146" s="157" t="s">
        <v>116</v>
      </c>
      <c r="E146" s="157" t="s">
        <v>117</v>
      </c>
      <c r="F146" s="157" t="s">
        <v>117</v>
      </c>
      <c r="G146" s="157" t="s">
        <v>117</v>
      </c>
    </row>
    <row r="147" spans="3:7" ht="15.75" thickBot="1" x14ac:dyDescent="0.3">
      <c r="C147" s="62" t="s">
        <v>212</v>
      </c>
      <c r="D147" s="157" t="s">
        <v>116</v>
      </c>
      <c r="E147" s="157" t="s">
        <v>117</v>
      </c>
      <c r="F147" s="157" t="s">
        <v>117</v>
      </c>
      <c r="G147" s="157" t="s">
        <v>117</v>
      </c>
    </row>
    <row r="148" spans="3:7" ht="30.75" thickBot="1" x14ac:dyDescent="0.3">
      <c r="C148" s="62" t="s">
        <v>115</v>
      </c>
      <c r="D148" s="157" t="s">
        <v>116</v>
      </c>
      <c r="E148" s="157" t="s">
        <v>117</v>
      </c>
      <c r="F148" s="157" t="s">
        <v>117</v>
      </c>
      <c r="G148" s="157" t="s">
        <v>117</v>
      </c>
    </row>
    <row r="149" spans="3:7" ht="15.75" thickBot="1" x14ac:dyDescent="0.3">
      <c r="C149" s="1027" t="s">
        <v>69</v>
      </c>
      <c r="D149" s="1028"/>
      <c r="E149" s="1028"/>
      <c r="F149" s="1028"/>
      <c r="G149" s="1029"/>
    </row>
    <row r="150" spans="3:7" ht="15.75" thickBot="1" x14ac:dyDescent="0.3">
      <c r="C150" s="1030" t="s">
        <v>70</v>
      </c>
      <c r="D150" s="1031"/>
      <c r="E150" s="1031"/>
      <c r="F150" s="1031"/>
      <c r="G150" s="1032"/>
    </row>
    <row r="151" spans="3:7" x14ac:dyDescent="0.25">
      <c r="C151" s="998"/>
      <c r="D151" s="63">
        <v>2018</v>
      </c>
      <c r="E151" s="63">
        <v>2019</v>
      </c>
      <c r="F151" s="63">
        <v>2020</v>
      </c>
      <c r="G151" s="63">
        <v>2021</v>
      </c>
    </row>
    <row r="152" spans="3:7" ht="15.75" thickBot="1" x14ac:dyDescent="0.3">
      <c r="C152" s="999"/>
      <c r="D152" s="64" t="s">
        <v>10</v>
      </c>
      <c r="E152" s="64" t="s">
        <v>11</v>
      </c>
      <c r="F152" s="64" t="s">
        <v>11</v>
      </c>
      <c r="G152" s="64" t="s">
        <v>11</v>
      </c>
    </row>
    <row r="153" spans="3:7" ht="15.75" thickBot="1" x14ac:dyDescent="0.3">
      <c r="C153" s="160" t="s">
        <v>16</v>
      </c>
      <c r="D153" s="992" t="s">
        <v>106</v>
      </c>
      <c r="E153" s="993"/>
      <c r="F153" s="993"/>
      <c r="G153" s="994"/>
    </row>
    <row r="154" spans="3:7" ht="15.75" thickBot="1" x14ac:dyDescent="0.3">
      <c r="C154" s="62" t="s">
        <v>17</v>
      </c>
      <c r="D154" s="983" t="s">
        <v>106</v>
      </c>
      <c r="E154" s="984"/>
      <c r="F154" s="984"/>
      <c r="G154" s="985"/>
    </row>
    <row r="155" spans="3:7" ht="15.75" thickBot="1" x14ac:dyDescent="0.3">
      <c r="C155" s="62" t="s">
        <v>18</v>
      </c>
      <c r="D155" s="995" t="s">
        <v>106</v>
      </c>
      <c r="E155" s="996"/>
      <c r="F155" s="996"/>
      <c r="G155" s="997"/>
    </row>
    <row r="156" spans="3:7" x14ac:dyDescent="0.25">
      <c r="C156" s="998"/>
      <c r="D156" s="63">
        <v>2018</v>
      </c>
      <c r="E156" s="63">
        <v>2019</v>
      </c>
      <c r="F156" s="63">
        <v>2020</v>
      </c>
      <c r="G156" s="63">
        <v>2021</v>
      </c>
    </row>
    <row r="157" spans="3:7" ht="15.75" thickBot="1" x14ac:dyDescent="0.3">
      <c r="C157" s="999"/>
      <c r="D157" s="64" t="s">
        <v>10</v>
      </c>
      <c r="E157" s="64" t="s">
        <v>11</v>
      </c>
      <c r="F157" s="64" t="s">
        <v>11</v>
      </c>
      <c r="G157" s="64" t="s">
        <v>11</v>
      </c>
    </row>
    <row r="158" spans="3:7" ht="15.75" thickBot="1" x14ac:dyDescent="0.3">
      <c r="C158" s="62" t="s">
        <v>19</v>
      </c>
      <c r="D158" s="161"/>
      <c r="E158" s="203"/>
      <c r="F158" s="203"/>
      <c r="G158" s="203"/>
    </row>
    <row r="159" spans="3:7" ht="15.75" thickBot="1" x14ac:dyDescent="0.3">
      <c r="C159" s="62" t="s">
        <v>20</v>
      </c>
      <c r="D159" s="161"/>
      <c r="E159" s="161"/>
      <c r="F159" s="161"/>
      <c r="G159" s="161"/>
    </row>
    <row r="160" spans="3:7" ht="15.75" thickBot="1" x14ac:dyDescent="0.3">
      <c r="C160" s="62" t="s">
        <v>21</v>
      </c>
      <c r="D160" s="161" t="e">
        <f>D159/D158</f>
        <v>#DIV/0!</v>
      </c>
      <c r="E160" s="161" t="e">
        <f t="shared" ref="E160:G160" si="13">E159/E158</f>
        <v>#DIV/0!</v>
      </c>
      <c r="F160" s="161" t="e">
        <f t="shared" si="13"/>
        <v>#DIV/0!</v>
      </c>
      <c r="G160" s="161" t="e">
        <f t="shared" si="13"/>
        <v>#DIV/0!</v>
      </c>
    </row>
    <row r="161" spans="3:7" ht="15.75" thickBot="1" x14ac:dyDescent="0.3">
      <c r="C161" s="62" t="s">
        <v>22</v>
      </c>
      <c r="D161" s="636"/>
      <c r="E161" s="162" t="e">
        <f>E158/D158-1</f>
        <v>#DIV/0!</v>
      </c>
      <c r="F161" s="162" t="e">
        <f t="shared" ref="F161:G163" si="14">F158/E158-1</f>
        <v>#DIV/0!</v>
      </c>
      <c r="G161" s="162" t="e">
        <f t="shared" si="14"/>
        <v>#DIV/0!</v>
      </c>
    </row>
    <row r="162" spans="3:7" ht="15.75" thickBot="1" x14ac:dyDescent="0.3">
      <c r="C162" s="62" t="s">
        <v>24</v>
      </c>
      <c r="D162" s="636"/>
      <c r="E162" s="162" t="e">
        <f>E159/D159-1</f>
        <v>#DIV/0!</v>
      </c>
      <c r="F162" s="162" t="e">
        <f t="shared" si="14"/>
        <v>#DIV/0!</v>
      </c>
      <c r="G162" s="162" t="e">
        <f t="shared" si="14"/>
        <v>#DIV/0!</v>
      </c>
    </row>
    <row r="163" spans="3:7" ht="15.75" thickBot="1" x14ac:dyDescent="0.3">
      <c r="C163" s="62" t="s">
        <v>25</v>
      </c>
      <c r="D163" s="636"/>
      <c r="E163" s="162" t="e">
        <f>E160/D160-1</f>
        <v>#DIV/0!</v>
      </c>
      <c r="F163" s="162" t="e">
        <f t="shared" si="14"/>
        <v>#DIV/0!</v>
      </c>
      <c r="G163" s="162" t="e">
        <f t="shared" si="14"/>
        <v>#DIV/0!</v>
      </c>
    </row>
    <row r="164" spans="3:7" x14ac:dyDescent="0.25">
      <c r="C164" s="998"/>
      <c r="D164" s="63">
        <v>2018</v>
      </c>
      <c r="E164" s="63">
        <v>2019</v>
      </c>
      <c r="F164" s="63">
        <v>2020</v>
      </c>
      <c r="G164" s="63">
        <v>2021</v>
      </c>
    </row>
    <row r="165" spans="3:7" ht="15.75" thickBot="1" x14ac:dyDescent="0.3">
      <c r="C165" s="999"/>
      <c r="D165" s="64" t="s">
        <v>10</v>
      </c>
      <c r="E165" s="64" t="s">
        <v>11</v>
      </c>
      <c r="F165" s="64" t="s">
        <v>11</v>
      </c>
      <c r="G165" s="64" t="s">
        <v>11</v>
      </c>
    </row>
    <row r="166" spans="3:7" ht="15.75" thickBot="1" x14ac:dyDescent="0.3">
      <c r="C166" s="1000" t="s">
        <v>794</v>
      </c>
      <c r="D166" s="1001"/>
      <c r="E166" s="1001"/>
      <c r="F166" s="1001"/>
      <c r="G166" s="1002"/>
    </row>
    <row r="167" spans="3:7" x14ac:dyDescent="0.25">
      <c r="C167" s="998"/>
      <c r="D167" s="63">
        <v>2018</v>
      </c>
      <c r="E167" s="63">
        <v>2019</v>
      </c>
      <c r="F167" s="63">
        <v>2020</v>
      </c>
      <c r="G167" s="63">
        <v>2021</v>
      </c>
    </row>
    <row r="168" spans="3:7" ht="15.75" thickBot="1" x14ac:dyDescent="0.3">
      <c r="C168" s="999"/>
      <c r="D168" s="64" t="s">
        <v>10</v>
      </c>
      <c r="E168" s="64" t="s">
        <v>11</v>
      </c>
      <c r="F168" s="64" t="s">
        <v>11</v>
      </c>
      <c r="G168" s="64" t="s">
        <v>11</v>
      </c>
    </row>
    <row r="169" spans="3:7" ht="15.75" thickBot="1" x14ac:dyDescent="0.3">
      <c r="C169" s="65" t="s">
        <v>26</v>
      </c>
      <c r="D169" s="164"/>
      <c r="E169" s="164"/>
      <c r="F169" s="164"/>
      <c r="G169" s="164"/>
    </row>
    <row r="170" spans="3:7" ht="30.75" thickBot="1" x14ac:dyDescent="0.3">
      <c r="C170" s="65" t="s">
        <v>28</v>
      </c>
      <c r="D170" s="164"/>
      <c r="E170" s="164"/>
      <c r="F170" s="164"/>
      <c r="G170" s="164"/>
    </row>
    <row r="171" spans="3:7" ht="15.75" thickBot="1" x14ac:dyDescent="0.3">
      <c r="C171" s="65" t="s">
        <v>30</v>
      </c>
      <c r="D171" s="165"/>
      <c r="E171" s="164"/>
      <c r="F171" s="164"/>
      <c r="G171" s="164"/>
    </row>
    <row r="172" spans="3:7" ht="15.75" thickBot="1" x14ac:dyDescent="0.3">
      <c r="C172" s="65" t="s">
        <v>32</v>
      </c>
      <c r="D172" s="165"/>
      <c r="E172" s="164"/>
      <c r="F172" s="164"/>
      <c r="G172" s="164"/>
    </row>
    <row r="173" spans="3:7" ht="15.75" thickBot="1" x14ac:dyDescent="0.3">
      <c r="C173" s="65" t="s">
        <v>34</v>
      </c>
      <c r="D173" s="165"/>
      <c r="E173" s="164"/>
      <c r="F173" s="164"/>
      <c r="G173" s="164"/>
    </row>
    <row r="174" spans="3:7" ht="15.75" thickBot="1" x14ac:dyDescent="0.3">
      <c r="C174" s="65" t="s">
        <v>36</v>
      </c>
      <c r="D174" s="165"/>
      <c r="E174" s="164"/>
      <c r="F174" s="164"/>
      <c r="G174" s="164"/>
    </row>
    <row r="175" spans="3:7" ht="30.75" thickBot="1" x14ac:dyDescent="0.3">
      <c r="C175" s="65" t="s">
        <v>38</v>
      </c>
      <c r="D175" s="165"/>
      <c r="E175" s="164"/>
      <c r="F175" s="164"/>
      <c r="G175" s="164"/>
    </row>
    <row r="176" spans="3:7" ht="30.75" thickBot="1" x14ac:dyDescent="0.3">
      <c r="C176" s="204" t="s">
        <v>71</v>
      </c>
      <c r="D176" s="205">
        <f>D175+D174+D173+D172+D171+D170+D169</f>
        <v>0</v>
      </c>
      <c r="E176" s="205">
        <f>E175+E174+E173+E172+E171+E170+E169</f>
        <v>0</v>
      </c>
      <c r="F176" s="205">
        <f>F175+F174+F173+F172+F171+F170+F169</f>
        <v>0</v>
      </c>
      <c r="G176" s="205">
        <f>G175+G174+G173+G172+G171+G170+G169</f>
        <v>0</v>
      </c>
    </row>
    <row r="177" spans="3:7" ht="15.75" thickBot="1" x14ac:dyDescent="0.3">
      <c r="C177" s="166" t="s">
        <v>41</v>
      </c>
      <c r="D177" s="167">
        <f>IF(D176-D159=0,0,"Error")</f>
        <v>0</v>
      </c>
      <c r="E177" s="167">
        <f>IF(E176-E159=0,0,"Error")</f>
        <v>0</v>
      </c>
      <c r="F177" s="167">
        <f>IF(F176-F159=0,0,"Error")</f>
        <v>0</v>
      </c>
      <c r="G177" s="167">
        <f>IF(G176-G159=0,0,"Error")</f>
        <v>0</v>
      </c>
    </row>
    <row r="178" spans="3:7" ht="15.75" thickBot="1" x14ac:dyDescent="0.3">
      <c r="C178" s="195" t="s">
        <v>791</v>
      </c>
      <c r="D178" s="992" t="s">
        <v>106</v>
      </c>
      <c r="E178" s="993"/>
      <c r="F178" s="993"/>
      <c r="G178" s="994"/>
    </row>
    <row r="179" spans="3:7" ht="15.75" thickBot="1" x14ac:dyDescent="0.3">
      <c r="C179" s="62" t="s">
        <v>17</v>
      </c>
      <c r="D179" s="983" t="s">
        <v>106</v>
      </c>
      <c r="E179" s="984"/>
      <c r="F179" s="984"/>
      <c r="G179" s="985"/>
    </row>
    <row r="180" spans="3:7" ht="15.75" thickBot="1" x14ac:dyDescent="0.3">
      <c r="C180" s="62" t="s">
        <v>18</v>
      </c>
      <c r="D180" s="995" t="s">
        <v>106</v>
      </c>
      <c r="E180" s="996"/>
      <c r="F180" s="996"/>
      <c r="G180" s="997"/>
    </row>
    <row r="181" spans="3:7" x14ac:dyDescent="0.25">
      <c r="C181" s="998"/>
      <c r="D181" s="63">
        <v>2018</v>
      </c>
      <c r="E181" s="63">
        <v>2019</v>
      </c>
      <c r="F181" s="63">
        <v>2020</v>
      </c>
      <c r="G181" s="63">
        <v>2021</v>
      </c>
    </row>
    <row r="182" spans="3:7" ht="15.75" thickBot="1" x14ac:dyDescent="0.3">
      <c r="C182" s="999"/>
      <c r="D182" s="64" t="s">
        <v>10</v>
      </c>
      <c r="E182" s="64" t="s">
        <v>11</v>
      </c>
      <c r="F182" s="64" t="s">
        <v>11</v>
      </c>
      <c r="G182" s="64" t="s">
        <v>11</v>
      </c>
    </row>
    <row r="183" spans="3:7" ht="15.75" thickBot="1" x14ac:dyDescent="0.3">
      <c r="C183" s="62" t="s">
        <v>19</v>
      </c>
      <c r="D183" s="161"/>
      <c r="E183" s="161"/>
      <c r="F183" s="161"/>
      <c r="G183" s="161"/>
    </row>
    <row r="184" spans="3:7" ht="15.75" thickBot="1" x14ac:dyDescent="0.3">
      <c r="C184" s="62" t="s">
        <v>20</v>
      </c>
      <c r="D184" s="161"/>
      <c r="E184" s="161"/>
      <c r="F184" s="161"/>
      <c r="G184" s="161"/>
    </row>
    <row r="185" spans="3:7" ht="15.75" thickBot="1" x14ac:dyDescent="0.3">
      <c r="C185" s="62" t="s">
        <v>21</v>
      </c>
      <c r="D185" s="161" t="e">
        <f>D184/D183</f>
        <v>#DIV/0!</v>
      </c>
      <c r="E185" s="161" t="e">
        <f t="shared" ref="E185:G185" si="15">E184/E183</f>
        <v>#DIV/0!</v>
      </c>
      <c r="F185" s="161" t="e">
        <f t="shared" si="15"/>
        <v>#DIV/0!</v>
      </c>
      <c r="G185" s="161" t="e">
        <f t="shared" si="15"/>
        <v>#DIV/0!</v>
      </c>
    </row>
    <row r="186" spans="3:7" ht="15.75" thickBot="1" x14ac:dyDescent="0.3">
      <c r="C186" s="62" t="s">
        <v>22</v>
      </c>
      <c r="D186" s="636"/>
      <c r="E186" s="162" t="e">
        <f>E183/D183-1</f>
        <v>#DIV/0!</v>
      </c>
      <c r="F186" s="162" t="e">
        <f t="shared" ref="F186:G188" si="16">F183/E183-1</f>
        <v>#DIV/0!</v>
      </c>
      <c r="G186" s="162" t="e">
        <f t="shared" si="16"/>
        <v>#DIV/0!</v>
      </c>
    </row>
    <row r="187" spans="3:7" ht="15.75" thickBot="1" x14ac:dyDescent="0.3">
      <c r="C187" s="62" t="s">
        <v>24</v>
      </c>
      <c r="D187" s="636"/>
      <c r="E187" s="162" t="e">
        <f>E184/D184-1</f>
        <v>#DIV/0!</v>
      </c>
      <c r="F187" s="162" t="e">
        <f t="shared" si="16"/>
        <v>#DIV/0!</v>
      </c>
      <c r="G187" s="162" t="e">
        <f t="shared" si="16"/>
        <v>#DIV/0!</v>
      </c>
    </row>
    <row r="188" spans="3:7" ht="15.75" thickBot="1" x14ac:dyDescent="0.3">
      <c r="C188" s="62" t="s">
        <v>25</v>
      </c>
      <c r="D188" s="636"/>
      <c r="E188" s="162" t="e">
        <f>E185/D185-1</f>
        <v>#DIV/0!</v>
      </c>
      <c r="F188" s="162" t="e">
        <f t="shared" si="16"/>
        <v>#DIV/0!</v>
      </c>
      <c r="G188" s="162" t="e">
        <f t="shared" si="16"/>
        <v>#DIV/0!</v>
      </c>
    </row>
    <row r="189" spans="3:7" ht="15.75" thickBot="1" x14ac:dyDescent="0.3">
      <c r="C189" s="1000" t="s">
        <v>793</v>
      </c>
      <c r="D189" s="1001"/>
      <c r="E189" s="1001"/>
      <c r="F189" s="1001"/>
      <c r="G189" s="1002"/>
    </row>
    <row r="190" spans="3:7" x14ac:dyDescent="0.25">
      <c r="C190" s="998"/>
      <c r="D190" s="63">
        <v>2018</v>
      </c>
      <c r="E190" s="63">
        <v>2019</v>
      </c>
      <c r="F190" s="63">
        <v>2020</v>
      </c>
      <c r="G190" s="63">
        <v>2021</v>
      </c>
    </row>
    <row r="191" spans="3:7" ht="15.75" thickBot="1" x14ac:dyDescent="0.3">
      <c r="C191" s="999"/>
      <c r="D191" s="64" t="s">
        <v>10</v>
      </c>
      <c r="E191" s="64" t="s">
        <v>11</v>
      </c>
      <c r="F191" s="64" t="s">
        <v>11</v>
      </c>
      <c r="G191" s="64" t="s">
        <v>11</v>
      </c>
    </row>
    <row r="192" spans="3:7" ht="15.75" thickBot="1" x14ac:dyDescent="0.3">
      <c r="C192" s="65" t="s">
        <v>26</v>
      </c>
      <c r="D192" s="164"/>
      <c r="E192" s="164"/>
      <c r="F192" s="164"/>
      <c r="G192" s="164"/>
    </row>
    <row r="193" spans="3:7" ht="30.75" thickBot="1" x14ac:dyDescent="0.3">
      <c r="C193" s="65" t="s">
        <v>28</v>
      </c>
      <c r="D193" s="164"/>
      <c r="E193" s="164"/>
      <c r="F193" s="164"/>
      <c r="G193" s="164"/>
    </row>
    <row r="194" spans="3:7" ht="15.75" thickBot="1" x14ac:dyDescent="0.3">
      <c r="C194" s="65" t="s">
        <v>30</v>
      </c>
      <c r="D194" s="165"/>
      <c r="E194" s="164"/>
      <c r="F194" s="164"/>
      <c r="G194" s="164"/>
    </row>
    <row r="195" spans="3:7" ht="15.75" thickBot="1" x14ac:dyDescent="0.3">
      <c r="C195" s="65" t="s">
        <v>32</v>
      </c>
      <c r="D195" s="165"/>
      <c r="E195" s="164"/>
      <c r="F195" s="164"/>
      <c r="G195" s="164"/>
    </row>
    <row r="196" spans="3:7" ht="15.75" thickBot="1" x14ac:dyDescent="0.3">
      <c r="C196" s="65" t="s">
        <v>34</v>
      </c>
      <c r="D196" s="165"/>
      <c r="E196" s="164"/>
      <c r="F196" s="164"/>
      <c r="G196" s="164"/>
    </row>
    <row r="197" spans="3:7" ht="15.75" thickBot="1" x14ac:dyDescent="0.3">
      <c r="C197" s="65" t="s">
        <v>36</v>
      </c>
      <c r="D197" s="165"/>
      <c r="E197" s="164"/>
      <c r="F197" s="164"/>
      <c r="G197" s="164"/>
    </row>
    <row r="198" spans="3:7" ht="30.75" thickBot="1" x14ac:dyDescent="0.3">
      <c r="C198" s="65" t="s">
        <v>38</v>
      </c>
      <c r="D198" s="165"/>
      <c r="E198" s="164"/>
      <c r="F198" s="164"/>
      <c r="G198" s="164"/>
    </row>
    <row r="199" spans="3:7" ht="30.75" thickBot="1" x14ac:dyDescent="0.3">
      <c r="C199" s="204" t="s">
        <v>71</v>
      </c>
      <c r="D199" s="219">
        <f>D198+D196+D197+D195+D194+D193+D192</f>
        <v>0</v>
      </c>
      <c r="E199" s="219">
        <f>E198+E196+E197+E195+E194+E193+E192</f>
        <v>0</v>
      </c>
      <c r="F199" s="219">
        <f>F198+F196+F197+F195+F194+F193+F192</f>
        <v>0</v>
      </c>
      <c r="G199" s="219">
        <f>G198+G196+G197+G195+G194+G193+G192</f>
        <v>0</v>
      </c>
    </row>
    <row r="200" spans="3:7" ht="15.75" thickBot="1" x14ac:dyDescent="0.3">
      <c r="C200" s="166" t="s">
        <v>41</v>
      </c>
      <c r="D200" s="167">
        <f>IF(D199-D184=0,0,"Error")</f>
        <v>0</v>
      </c>
      <c r="E200" s="167">
        <f>IF(E199-E184=0,0,"Error")</f>
        <v>0</v>
      </c>
      <c r="F200" s="167">
        <f>IF(F199-F184=0,0,"Error")</f>
        <v>0</v>
      </c>
      <c r="G200" s="167">
        <f>IF(G199-G184=0,0,"Error")</f>
        <v>0</v>
      </c>
    </row>
    <row r="201" spans="3:7" ht="15.75" thickBot="1" x14ac:dyDescent="0.3">
      <c r="C201" s="989" t="s">
        <v>63</v>
      </c>
      <c r="D201" s="990"/>
      <c r="E201" s="990"/>
      <c r="F201" s="990"/>
      <c r="G201" s="991"/>
    </row>
    <row r="202" spans="3:7" ht="15.75" thickBot="1" x14ac:dyDescent="0.3">
      <c r="C202" s="989" t="s">
        <v>56</v>
      </c>
      <c r="D202" s="990"/>
      <c r="E202" s="990"/>
      <c r="F202" s="990"/>
      <c r="G202" s="991"/>
    </row>
    <row r="203" spans="3:7" ht="15.75" thickBot="1" x14ac:dyDescent="0.3">
      <c r="C203" s="67" t="s">
        <v>61</v>
      </c>
      <c r="D203" s="1009" t="s">
        <v>1100</v>
      </c>
      <c r="E203" s="1010"/>
      <c r="F203" s="1010"/>
      <c r="G203" s="1011"/>
    </row>
    <row r="204" spans="3:7" ht="15.75" thickBot="1" x14ac:dyDescent="0.3">
      <c r="C204" s="160" t="s">
        <v>449</v>
      </c>
      <c r="D204" s="992" t="s">
        <v>1101</v>
      </c>
      <c r="E204" s="993"/>
      <c r="F204" s="993"/>
      <c r="G204" s="994"/>
    </row>
    <row r="205" spans="3:7" ht="15.75" thickBot="1" x14ac:dyDescent="0.3">
      <c r="C205" s="62" t="s">
        <v>17</v>
      </c>
      <c r="D205" s="983" t="s">
        <v>1092</v>
      </c>
      <c r="E205" s="984"/>
      <c r="F205" s="984"/>
      <c r="G205" s="985"/>
    </row>
    <row r="206" spans="3:7" ht="15.75" thickBot="1" x14ac:dyDescent="0.3">
      <c r="C206" s="62" t="s">
        <v>18</v>
      </c>
      <c r="D206" s="995" t="s">
        <v>1099</v>
      </c>
      <c r="E206" s="996"/>
      <c r="F206" s="996"/>
      <c r="G206" s="997"/>
    </row>
    <row r="207" spans="3:7" x14ac:dyDescent="0.25">
      <c r="C207" s="998"/>
      <c r="D207" s="63">
        <v>2018</v>
      </c>
      <c r="E207" s="63">
        <v>2019</v>
      </c>
      <c r="F207" s="63">
        <v>2020</v>
      </c>
      <c r="G207" s="63">
        <v>2021</v>
      </c>
    </row>
    <row r="208" spans="3:7" ht="15.75" thickBot="1" x14ac:dyDescent="0.3">
      <c r="C208" s="999"/>
      <c r="D208" s="64" t="s">
        <v>10</v>
      </c>
      <c r="E208" s="64" t="s">
        <v>11</v>
      </c>
      <c r="F208" s="64" t="s">
        <v>11</v>
      </c>
      <c r="G208" s="64" t="s">
        <v>11</v>
      </c>
    </row>
    <row r="209" spans="3:7" ht="15.75" thickBot="1" x14ac:dyDescent="0.3">
      <c r="C209" s="62" t="s">
        <v>19</v>
      </c>
      <c r="D209" s="161">
        <v>18</v>
      </c>
      <c r="E209" s="161">
        <v>18</v>
      </c>
      <c r="F209" s="161">
        <v>18</v>
      </c>
      <c r="G209" s="161">
        <v>18</v>
      </c>
    </row>
    <row r="210" spans="3:7" ht="15.75" thickBot="1" x14ac:dyDescent="0.3">
      <c r="C210" s="62" t="s">
        <v>20</v>
      </c>
      <c r="D210" s="161">
        <v>1700</v>
      </c>
      <c r="E210" s="161">
        <v>1900</v>
      </c>
      <c r="F210" s="161">
        <v>2310</v>
      </c>
      <c r="G210" s="161">
        <v>2310</v>
      </c>
    </row>
    <row r="211" spans="3:7" ht="15.75" thickBot="1" x14ac:dyDescent="0.3">
      <c r="C211" s="62" t="s">
        <v>21</v>
      </c>
      <c r="D211" s="161">
        <f>D210/D209</f>
        <v>94.444444444444443</v>
      </c>
      <c r="E211" s="161">
        <f t="shared" ref="E211:G211" si="17">E210/E209</f>
        <v>105.55555555555556</v>
      </c>
      <c r="F211" s="161">
        <f t="shared" si="17"/>
        <v>128.33333333333334</v>
      </c>
      <c r="G211" s="161">
        <f t="shared" si="17"/>
        <v>128.33333333333334</v>
      </c>
    </row>
    <row r="212" spans="3:7" ht="15.75" thickBot="1" x14ac:dyDescent="0.3">
      <c r="C212" s="62" t="s">
        <v>22</v>
      </c>
      <c r="D212" s="636" t="s">
        <v>23</v>
      </c>
      <c r="E212" s="162">
        <f>E209/D209-1</f>
        <v>0</v>
      </c>
      <c r="F212" s="162">
        <f t="shared" ref="F212:G214" si="18">F209/E209-1</f>
        <v>0</v>
      </c>
      <c r="G212" s="162">
        <f t="shared" si="18"/>
        <v>0</v>
      </c>
    </row>
    <row r="213" spans="3:7" ht="15.75" thickBot="1" x14ac:dyDescent="0.3">
      <c r="C213" s="62" t="s">
        <v>24</v>
      </c>
      <c r="D213" s="636" t="s">
        <v>23</v>
      </c>
      <c r="E213" s="162">
        <f>E210/D210-1</f>
        <v>0.11764705882352944</v>
      </c>
      <c r="F213" s="162">
        <f t="shared" si="18"/>
        <v>0.21578947368421053</v>
      </c>
      <c r="G213" s="162">
        <f t="shared" si="18"/>
        <v>0</v>
      </c>
    </row>
    <row r="214" spans="3:7" ht="15.75" thickBot="1" x14ac:dyDescent="0.3">
      <c r="C214" s="62" t="s">
        <v>25</v>
      </c>
      <c r="D214" s="636" t="s">
        <v>23</v>
      </c>
      <c r="E214" s="162">
        <f>E211/D211-1</f>
        <v>0.11764705882352944</v>
      </c>
      <c r="F214" s="162">
        <f t="shared" si="18"/>
        <v>0.21578947368421053</v>
      </c>
      <c r="G214" s="162">
        <f t="shared" si="18"/>
        <v>0</v>
      </c>
    </row>
    <row r="215" spans="3:7" ht="15.75" thickBot="1" x14ac:dyDescent="0.3">
      <c r="C215" s="1000" t="s">
        <v>786</v>
      </c>
      <c r="D215" s="1001"/>
      <c r="E215" s="1001"/>
      <c r="F215" s="1001"/>
      <c r="G215" s="1002"/>
    </row>
    <row r="216" spans="3:7" x14ac:dyDescent="0.25">
      <c r="C216" s="998"/>
      <c r="D216" s="63">
        <v>2018</v>
      </c>
      <c r="E216" s="63">
        <v>2019</v>
      </c>
      <c r="F216" s="63">
        <v>2020</v>
      </c>
      <c r="G216" s="63">
        <v>2021</v>
      </c>
    </row>
    <row r="217" spans="3:7" ht="15.75" thickBot="1" x14ac:dyDescent="0.3">
      <c r="C217" s="999"/>
      <c r="D217" s="64" t="s">
        <v>10</v>
      </c>
      <c r="E217" s="64" t="s">
        <v>11</v>
      </c>
      <c r="F217" s="64" t="s">
        <v>11</v>
      </c>
      <c r="G217" s="64" t="s">
        <v>11</v>
      </c>
    </row>
    <row r="218" spans="3:7" ht="15.75" thickBot="1" x14ac:dyDescent="0.3">
      <c r="C218" s="65" t="s">
        <v>58</v>
      </c>
      <c r="D218" s="164"/>
      <c r="E218" s="164"/>
      <c r="F218" s="164"/>
      <c r="G218" s="164"/>
    </row>
    <row r="219" spans="3:7" ht="15.75" thickBot="1" x14ac:dyDescent="0.3">
      <c r="C219" s="65" t="s">
        <v>59</v>
      </c>
      <c r="D219" s="165">
        <v>1700</v>
      </c>
      <c r="E219" s="164">
        <v>1900</v>
      </c>
      <c r="F219" s="164">
        <v>2310</v>
      </c>
      <c r="G219" s="164">
        <v>2310</v>
      </c>
    </row>
    <row r="220" spans="3:7" ht="15.75" thickBot="1" x14ac:dyDescent="0.3">
      <c r="C220" s="66" t="s">
        <v>43</v>
      </c>
      <c r="D220" s="165">
        <f>D219+D218</f>
        <v>1700</v>
      </c>
      <c r="E220" s="165">
        <f t="shared" ref="E220:G220" si="19">E219+E218</f>
        <v>1900</v>
      </c>
      <c r="F220" s="165">
        <f t="shared" si="19"/>
        <v>2310</v>
      </c>
      <c r="G220" s="165">
        <f t="shared" si="19"/>
        <v>2310</v>
      </c>
    </row>
    <row r="221" spans="3:7" ht="15.75" thickBot="1" x14ac:dyDescent="0.3">
      <c r="C221" s="67" t="s">
        <v>61</v>
      </c>
      <c r="D221" s="1009" t="s">
        <v>130</v>
      </c>
      <c r="E221" s="1010"/>
      <c r="F221" s="1010"/>
      <c r="G221" s="1011"/>
    </row>
    <row r="222" spans="3:7" ht="30.75" thickBot="1" x14ac:dyDescent="0.3">
      <c r="C222" s="160" t="s">
        <v>129</v>
      </c>
      <c r="D222" s="992" t="s">
        <v>106</v>
      </c>
      <c r="E222" s="993"/>
      <c r="F222" s="993"/>
      <c r="G222" s="994"/>
    </row>
    <row r="223" spans="3:7" ht="15.75" thickBot="1" x14ac:dyDescent="0.3">
      <c r="C223" s="62" t="s">
        <v>17</v>
      </c>
      <c r="D223" s="983" t="s">
        <v>106</v>
      </c>
      <c r="E223" s="984"/>
      <c r="F223" s="984"/>
      <c r="G223" s="985"/>
    </row>
    <row r="224" spans="3:7" ht="15.75" thickBot="1" x14ac:dyDescent="0.3">
      <c r="C224" s="62" t="s">
        <v>18</v>
      </c>
      <c r="D224" s="995" t="s">
        <v>106</v>
      </c>
      <c r="E224" s="996"/>
      <c r="F224" s="996"/>
      <c r="G224" s="997"/>
    </row>
    <row r="225" spans="3:7" x14ac:dyDescent="0.25">
      <c r="C225" s="998"/>
      <c r="D225" s="63">
        <v>2018</v>
      </c>
      <c r="E225" s="63">
        <v>2019</v>
      </c>
      <c r="F225" s="63">
        <v>2020</v>
      </c>
      <c r="G225" s="63">
        <v>2021</v>
      </c>
    </row>
    <row r="226" spans="3:7" ht="15.75" thickBot="1" x14ac:dyDescent="0.3">
      <c r="C226" s="999"/>
      <c r="D226" s="64" t="s">
        <v>10</v>
      </c>
      <c r="E226" s="64" t="s">
        <v>11</v>
      </c>
      <c r="F226" s="64" t="s">
        <v>11</v>
      </c>
      <c r="G226" s="64" t="s">
        <v>11</v>
      </c>
    </row>
    <row r="227" spans="3:7" ht="15.75" thickBot="1" x14ac:dyDescent="0.3">
      <c r="C227" s="62" t="s">
        <v>19</v>
      </c>
      <c r="D227" s="161"/>
      <c r="E227" s="161"/>
      <c r="F227" s="161"/>
      <c r="G227" s="161"/>
    </row>
    <row r="228" spans="3:7" ht="15.75" thickBot="1" x14ac:dyDescent="0.3">
      <c r="C228" s="62" t="s">
        <v>20</v>
      </c>
      <c r="D228" s="161"/>
      <c r="E228" s="161"/>
      <c r="F228" s="161"/>
      <c r="G228" s="161"/>
    </row>
    <row r="229" spans="3:7" ht="15.75" thickBot="1" x14ac:dyDescent="0.3">
      <c r="C229" s="62" t="s">
        <v>21</v>
      </c>
      <c r="D229" s="161" t="e">
        <f>D228/D227</f>
        <v>#DIV/0!</v>
      </c>
      <c r="E229" s="161" t="e">
        <f t="shared" ref="E229:G229" si="20">E228/E227</f>
        <v>#DIV/0!</v>
      </c>
      <c r="F229" s="161" t="e">
        <f t="shared" si="20"/>
        <v>#DIV/0!</v>
      </c>
      <c r="G229" s="161" t="e">
        <f t="shared" si="20"/>
        <v>#DIV/0!</v>
      </c>
    </row>
    <row r="230" spans="3:7" ht="15.75" thickBot="1" x14ac:dyDescent="0.3">
      <c r="C230" s="62" t="s">
        <v>22</v>
      </c>
      <c r="D230" s="636" t="s">
        <v>23</v>
      </c>
      <c r="E230" s="162" t="e">
        <f>E227/D227-1</f>
        <v>#DIV/0!</v>
      </c>
      <c r="F230" s="162" t="e">
        <f t="shared" ref="F230:G232" si="21">F227/E227-1</f>
        <v>#DIV/0!</v>
      </c>
      <c r="G230" s="162" t="e">
        <f t="shared" si="21"/>
        <v>#DIV/0!</v>
      </c>
    </row>
    <row r="231" spans="3:7" ht="15.75" thickBot="1" x14ac:dyDescent="0.3">
      <c r="C231" s="62" t="s">
        <v>24</v>
      </c>
      <c r="D231" s="636" t="s">
        <v>23</v>
      </c>
      <c r="E231" s="162" t="e">
        <f>E228/D228-1</f>
        <v>#DIV/0!</v>
      </c>
      <c r="F231" s="162" t="e">
        <f t="shared" si="21"/>
        <v>#DIV/0!</v>
      </c>
      <c r="G231" s="162" t="e">
        <f t="shared" si="21"/>
        <v>#DIV/0!</v>
      </c>
    </row>
    <row r="232" spans="3:7" ht="15.75" thickBot="1" x14ac:dyDescent="0.3">
      <c r="C232" s="62" t="s">
        <v>25</v>
      </c>
      <c r="D232" s="636" t="s">
        <v>23</v>
      </c>
      <c r="E232" s="162" t="e">
        <f>E229/D229-1</f>
        <v>#DIV/0!</v>
      </c>
      <c r="F232" s="162" t="e">
        <f t="shared" si="21"/>
        <v>#DIV/0!</v>
      </c>
      <c r="G232" s="162" t="e">
        <f t="shared" si="21"/>
        <v>#DIV/0!</v>
      </c>
    </row>
    <row r="233" spans="3:7" ht="15.75" thickBot="1" x14ac:dyDescent="0.3">
      <c r="C233" s="1000" t="s">
        <v>793</v>
      </c>
      <c r="D233" s="1001"/>
      <c r="E233" s="1001"/>
      <c r="F233" s="1001"/>
      <c r="G233" s="1002"/>
    </row>
    <row r="234" spans="3:7" x14ac:dyDescent="0.25">
      <c r="C234" s="998"/>
      <c r="D234" s="63">
        <v>2018</v>
      </c>
      <c r="E234" s="63">
        <v>2019</v>
      </c>
      <c r="F234" s="63">
        <v>2020</v>
      </c>
      <c r="G234" s="63">
        <v>2021</v>
      </c>
    </row>
    <row r="235" spans="3:7" ht="15.75" thickBot="1" x14ac:dyDescent="0.3">
      <c r="C235" s="999"/>
      <c r="D235" s="64" t="s">
        <v>10</v>
      </c>
      <c r="E235" s="64" t="s">
        <v>11</v>
      </c>
      <c r="F235" s="64" t="s">
        <v>11</v>
      </c>
      <c r="G235" s="64" t="s">
        <v>11</v>
      </c>
    </row>
    <row r="236" spans="3:7" ht="15.75" thickBot="1" x14ac:dyDescent="0.3">
      <c r="C236" s="65" t="s">
        <v>58</v>
      </c>
      <c r="D236" s="164"/>
      <c r="E236" s="164"/>
      <c r="F236" s="164"/>
      <c r="G236" s="164"/>
    </row>
    <row r="237" spans="3:7" ht="15.75" thickBot="1" x14ac:dyDescent="0.3">
      <c r="C237" s="65" t="s">
        <v>59</v>
      </c>
      <c r="D237" s="165"/>
      <c r="E237" s="164"/>
      <c r="F237" s="164"/>
      <c r="G237" s="164"/>
    </row>
    <row r="238" spans="3:7" ht="15.75" thickBot="1" x14ac:dyDescent="0.3">
      <c r="C238" s="66" t="s">
        <v>74</v>
      </c>
      <c r="D238" s="165">
        <f>D237+D236</f>
        <v>0</v>
      </c>
      <c r="E238" s="165">
        <f t="shared" ref="E238:G238" si="22">E237+E236</f>
        <v>0</v>
      </c>
      <c r="F238" s="165">
        <f t="shared" si="22"/>
        <v>0</v>
      </c>
      <c r="G238" s="165">
        <f t="shared" si="22"/>
        <v>0</v>
      </c>
    </row>
    <row r="239" spans="3:7" ht="15.75" thickBot="1" x14ac:dyDescent="0.3">
      <c r="C239" s="989" t="s">
        <v>63</v>
      </c>
      <c r="D239" s="990"/>
      <c r="E239" s="990"/>
      <c r="F239" s="990"/>
      <c r="G239" s="991"/>
    </row>
    <row r="240" spans="3:7" ht="15.75" thickBot="1" x14ac:dyDescent="0.3">
      <c r="C240" s="989" t="s">
        <v>64</v>
      </c>
      <c r="D240" s="990"/>
      <c r="E240" s="990"/>
      <c r="F240" s="990"/>
      <c r="G240" s="991"/>
    </row>
    <row r="241" spans="3:7" ht="15.75" thickBot="1" x14ac:dyDescent="0.3">
      <c r="C241" s="67" t="s">
        <v>61</v>
      </c>
      <c r="D241" s="1009" t="s">
        <v>130</v>
      </c>
      <c r="E241" s="1010"/>
      <c r="F241" s="1010"/>
      <c r="G241" s="1011"/>
    </row>
    <row r="242" spans="3:7" ht="15.75" thickBot="1" x14ac:dyDescent="0.3">
      <c r="C242" s="160" t="s">
        <v>16</v>
      </c>
      <c r="D242" s="992" t="s">
        <v>106</v>
      </c>
      <c r="E242" s="993"/>
      <c r="F242" s="993"/>
      <c r="G242" s="994"/>
    </row>
    <row r="243" spans="3:7" ht="15.75" thickBot="1" x14ac:dyDescent="0.3">
      <c r="C243" s="62" t="s">
        <v>17</v>
      </c>
      <c r="D243" s="983" t="s">
        <v>106</v>
      </c>
      <c r="E243" s="984"/>
      <c r="F243" s="984"/>
      <c r="G243" s="985"/>
    </row>
    <row r="244" spans="3:7" ht="15.75" thickBot="1" x14ac:dyDescent="0.3">
      <c r="C244" s="62" t="s">
        <v>18</v>
      </c>
      <c r="D244" s="995" t="s">
        <v>106</v>
      </c>
      <c r="E244" s="996"/>
      <c r="F244" s="996"/>
      <c r="G244" s="997"/>
    </row>
    <row r="245" spans="3:7" x14ac:dyDescent="0.25">
      <c r="C245" s="998"/>
      <c r="D245" s="63">
        <v>2018</v>
      </c>
      <c r="E245" s="63">
        <v>2019</v>
      </c>
      <c r="F245" s="63">
        <v>2020</v>
      </c>
      <c r="G245" s="63">
        <v>2021</v>
      </c>
    </row>
    <row r="246" spans="3:7" ht="15.75" thickBot="1" x14ac:dyDescent="0.3">
      <c r="C246" s="999"/>
      <c r="D246" s="64" t="s">
        <v>10</v>
      </c>
      <c r="E246" s="64" t="s">
        <v>11</v>
      </c>
      <c r="F246" s="64" t="s">
        <v>11</v>
      </c>
      <c r="G246" s="64" t="s">
        <v>11</v>
      </c>
    </row>
    <row r="247" spans="3:7" ht="15.75" thickBot="1" x14ac:dyDescent="0.3">
      <c r="C247" s="62" t="s">
        <v>19</v>
      </c>
      <c r="D247" s="161"/>
      <c r="E247" s="161"/>
      <c r="F247" s="161"/>
      <c r="G247" s="161"/>
    </row>
    <row r="248" spans="3:7" ht="15.75" thickBot="1" x14ac:dyDescent="0.3">
      <c r="C248" s="62" t="s">
        <v>20</v>
      </c>
      <c r="D248" s="161"/>
      <c r="E248" s="161"/>
      <c r="F248" s="161"/>
      <c r="G248" s="161"/>
    </row>
    <row r="249" spans="3:7" ht="15.75" thickBot="1" x14ac:dyDescent="0.3">
      <c r="C249" s="62" t="s">
        <v>21</v>
      </c>
      <c r="D249" s="161" t="e">
        <f>D248/D247</f>
        <v>#DIV/0!</v>
      </c>
      <c r="E249" s="161" t="e">
        <f t="shared" ref="E249:G249" si="23">E248/E247</f>
        <v>#DIV/0!</v>
      </c>
      <c r="F249" s="161" t="e">
        <f t="shared" si="23"/>
        <v>#DIV/0!</v>
      </c>
      <c r="G249" s="161" t="e">
        <f t="shared" si="23"/>
        <v>#DIV/0!</v>
      </c>
    </row>
    <row r="250" spans="3:7" ht="15.75" thickBot="1" x14ac:dyDescent="0.3">
      <c r="C250" s="62" t="s">
        <v>22</v>
      </c>
      <c r="D250" s="636" t="s">
        <v>23</v>
      </c>
      <c r="E250" s="162" t="e">
        <f>E247/D247-1</f>
        <v>#DIV/0!</v>
      </c>
      <c r="F250" s="162" t="e">
        <f t="shared" ref="F250:G252" si="24">F247/E247-1</f>
        <v>#DIV/0!</v>
      </c>
      <c r="G250" s="162" t="e">
        <f t="shared" si="24"/>
        <v>#DIV/0!</v>
      </c>
    </row>
    <row r="251" spans="3:7" ht="15.75" thickBot="1" x14ac:dyDescent="0.3">
      <c r="C251" s="62" t="s">
        <v>24</v>
      </c>
      <c r="D251" s="636" t="s">
        <v>23</v>
      </c>
      <c r="E251" s="162" t="e">
        <f>E248/D248-1</f>
        <v>#DIV/0!</v>
      </c>
      <c r="F251" s="162" t="e">
        <f t="shared" si="24"/>
        <v>#DIV/0!</v>
      </c>
      <c r="G251" s="162" t="e">
        <f t="shared" si="24"/>
        <v>#DIV/0!</v>
      </c>
    </row>
    <row r="252" spans="3:7" ht="15.75" thickBot="1" x14ac:dyDescent="0.3">
      <c r="C252" s="62" t="s">
        <v>25</v>
      </c>
      <c r="D252" s="636" t="s">
        <v>23</v>
      </c>
      <c r="E252" s="162" t="e">
        <f>E249/D249-1</f>
        <v>#DIV/0!</v>
      </c>
      <c r="F252" s="162" t="e">
        <f t="shared" si="24"/>
        <v>#DIV/0!</v>
      </c>
      <c r="G252" s="162" t="e">
        <f t="shared" si="24"/>
        <v>#DIV/0!</v>
      </c>
    </row>
    <row r="253" spans="3:7" ht="15.75" thickBot="1" x14ac:dyDescent="0.3">
      <c r="C253" s="1000" t="s">
        <v>784</v>
      </c>
      <c r="D253" s="1001"/>
      <c r="E253" s="1001"/>
      <c r="F253" s="1001"/>
      <c r="G253" s="1002"/>
    </row>
    <row r="254" spans="3:7" x14ac:dyDescent="0.25">
      <c r="C254" s="998"/>
      <c r="D254" s="63">
        <v>2018</v>
      </c>
      <c r="E254" s="63">
        <v>2019</v>
      </c>
      <c r="F254" s="63">
        <v>2020</v>
      </c>
      <c r="G254" s="63">
        <v>2021</v>
      </c>
    </row>
    <row r="255" spans="3:7" ht="15.75" thickBot="1" x14ac:dyDescent="0.3">
      <c r="C255" s="999"/>
      <c r="D255" s="64" t="s">
        <v>10</v>
      </c>
      <c r="E255" s="64" t="s">
        <v>11</v>
      </c>
      <c r="F255" s="64" t="s">
        <v>11</v>
      </c>
      <c r="G255" s="64" t="s">
        <v>11</v>
      </c>
    </row>
    <row r="256" spans="3:7" ht="15.75" thickBot="1" x14ac:dyDescent="0.3">
      <c r="C256" s="65" t="s">
        <v>58</v>
      </c>
      <c r="D256" s="164"/>
      <c r="E256" s="164"/>
      <c r="F256" s="164"/>
      <c r="G256" s="164"/>
    </row>
    <row r="257" spans="3:7" ht="15.75" thickBot="1" x14ac:dyDescent="0.3">
      <c r="C257" s="65" t="s">
        <v>59</v>
      </c>
      <c r="D257" s="165"/>
      <c r="E257" s="164"/>
      <c r="F257" s="164"/>
      <c r="G257" s="164"/>
    </row>
    <row r="258" spans="3:7" ht="15.75" thickBot="1" x14ac:dyDescent="0.3">
      <c r="C258" s="66" t="s">
        <v>40</v>
      </c>
      <c r="D258" s="165">
        <f>D257+D256</f>
        <v>0</v>
      </c>
      <c r="E258" s="165">
        <f t="shared" ref="E258:G258" si="25">E257+E256</f>
        <v>0</v>
      </c>
      <c r="F258" s="165">
        <f t="shared" si="25"/>
        <v>0</v>
      </c>
      <c r="G258" s="165">
        <f t="shared" si="25"/>
        <v>0</v>
      </c>
    </row>
    <row r="259" spans="3:7" ht="15.75" thickBot="1" x14ac:dyDescent="0.3">
      <c r="C259" s="67" t="s">
        <v>61</v>
      </c>
      <c r="D259" s="1009" t="s">
        <v>130</v>
      </c>
      <c r="E259" s="1010"/>
      <c r="F259" s="1010"/>
      <c r="G259" s="1011"/>
    </row>
    <row r="260" spans="3:7" ht="30.75" thickBot="1" x14ac:dyDescent="0.3">
      <c r="C260" s="160" t="s">
        <v>129</v>
      </c>
      <c r="D260" s="992" t="s">
        <v>106</v>
      </c>
      <c r="E260" s="993"/>
      <c r="F260" s="993"/>
      <c r="G260" s="994"/>
    </row>
    <row r="261" spans="3:7" ht="15.75" thickBot="1" x14ac:dyDescent="0.3">
      <c r="C261" s="62" t="s">
        <v>17</v>
      </c>
      <c r="D261" s="983" t="s">
        <v>106</v>
      </c>
      <c r="E261" s="984"/>
      <c r="F261" s="984"/>
      <c r="G261" s="985"/>
    </row>
    <row r="262" spans="3:7" ht="15.75" thickBot="1" x14ac:dyDescent="0.3">
      <c r="C262" s="62" t="s">
        <v>18</v>
      </c>
      <c r="D262" s="995" t="s">
        <v>106</v>
      </c>
      <c r="E262" s="996"/>
      <c r="F262" s="996"/>
      <c r="G262" s="997"/>
    </row>
    <row r="263" spans="3:7" x14ac:dyDescent="0.25">
      <c r="C263" s="998"/>
      <c r="D263" s="63">
        <v>2018</v>
      </c>
      <c r="E263" s="63">
        <v>2019</v>
      </c>
      <c r="F263" s="63">
        <v>2020</v>
      </c>
      <c r="G263" s="63">
        <v>2021</v>
      </c>
    </row>
    <row r="264" spans="3:7" ht="15.75" thickBot="1" x14ac:dyDescent="0.3">
      <c r="C264" s="999"/>
      <c r="D264" s="64" t="s">
        <v>10</v>
      </c>
      <c r="E264" s="64" t="s">
        <v>11</v>
      </c>
      <c r="F264" s="64" t="s">
        <v>11</v>
      </c>
      <c r="G264" s="64" t="s">
        <v>11</v>
      </c>
    </row>
    <row r="265" spans="3:7" ht="15.75" thickBot="1" x14ac:dyDescent="0.3">
      <c r="C265" s="62" t="s">
        <v>19</v>
      </c>
      <c r="D265" s="161"/>
      <c r="E265" s="161"/>
      <c r="F265" s="161"/>
      <c r="G265" s="161"/>
    </row>
    <row r="266" spans="3:7" ht="15.75" thickBot="1" x14ac:dyDescent="0.3">
      <c r="C266" s="62" t="s">
        <v>20</v>
      </c>
      <c r="D266" s="161"/>
      <c r="E266" s="161"/>
      <c r="F266" s="161"/>
      <c r="G266" s="161"/>
    </row>
    <row r="267" spans="3:7" ht="15.75" thickBot="1" x14ac:dyDescent="0.3">
      <c r="C267" s="62" t="s">
        <v>21</v>
      </c>
      <c r="D267" s="161" t="e">
        <f>D266/D265</f>
        <v>#DIV/0!</v>
      </c>
      <c r="E267" s="161" t="e">
        <f t="shared" ref="E267:G267" si="26">E266/E265</f>
        <v>#DIV/0!</v>
      </c>
      <c r="F267" s="161" t="e">
        <f t="shared" si="26"/>
        <v>#DIV/0!</v>
      </c>
      <c r="G267" s="161" t="e">
        <f t="shared" si="26"/>
        <v>#DIV/0!</v>
      </c>
    </row>
    <row r="268" spans="3:7" ht="15.75" thickBot="1" x14ac:dyDescent="0.3">
      <c r="C268" s="62" t="s">
        <v>22</v>
      </c>
      <c r="D268" s="636" t="s">
        <v>23</v>
      </c>
      <c r="E268" s="162" t="e">
        <f>E265/D265-1</f>
        <v>#DIV/0!</v>
      </c>
      <c r="F268" s="162" t="e">
        <f t="shared" ref="F268:G270" si="27">F265/E265-1</f>
        <v>#DIV/0!</v>
      </c>
      <c r="G268" s="162" t="e">
        <f t="shared" si="27"/>
        <v>#DIV/0!</v>
      </c>
    </row>
    <row r="269" spans="3:7" ht="15.75" thickBot="1" x14ac:dyDescent="0.3">
      <c r="C269" s="62" t="s">
        <v>24</v>
      </c>
      <c r="D269" s="636" t="s">
        <v>23</v>
      </c>
      <c r="E269" s="162" t="e">
        <f>E266/D266-1</f>
        <v>#DIV/0!</v>
      </c>
      <c r="F269" s="162" t="e">
        <f t="shared" si="27"/>
        <v>#DIV/0!</v>
      </c>
      <c r="G269" s="162" t="e">
        <f t="shared" si="27"/>
        <v>#DIV/0!</v>
      </c>
    </row>
    <row r="270" spans="3:7" ht="15.75" thickBot="1" x14ac:dyDescent="0.3">
      <c r="C270" s="62" t="s">
        <v>25</v>
      </c>
      <c r="D270" s="636" t="s">
        <v>23</v>
      </c>
      <c r="E270" s="162" t="e">
        <f>E267/D267-1</f>
        <v>#DIV/0!</v>
      </c>
      <c r="F270" s="162" t="e">
        <f t="shared" si="27"/>
        <v>#DIV/0!</v>
      </c>
      <c r="G270" s="162" t="e">
        <f t="shared" si="27"/>
        <v>#DIV/0!</v>
      </c>
    </row>
    <row r="271" spans="3:7" ht="15.75" thickBot="1" x14ac:dyDescent="0.3">
      <c r="C271" s="1000" t="s">
        <v>793</v>
      </c>
      <c r="D271" s="1001"/>
      <c r="E271" s="1001"/>
      <c r="F271" s="1001"/>
      <c r="G271" s="1002"/>
    </row>
    <row r="272" spans="3:7" x14ac:dyDescent="0.25">
      <c r="C272" s="998"/>
      <c r="D272" s="63">
        <v>2018</v>
      </c>
      <c r="E272" s="63">
        <v>2019</v>
      </c>
      <c r="F272" s="63">
        <v>2020</v>
      </c>
      <c r="G272" s="63">
        <v>2021</v>
      </c>
    </row>
    <row r="273" spans="3:7" ht="15.75" thickBot="1" x14ac:dyDescent="0.3">
      <c r="C273" s="999"/>
      <c r="D273" s="64" t="s">
        <v>10</v>
      </c>
      <c r="E273" s="64" t="s">
        <v>11</v>
      </c>
      <c r="F273" s="64" t="s">
        <v>11</v>
      </c>
      <c r="G273" s="64" t="s">
        <v>11</v>
      </c>
    </row>
    <row r="274" spans="3:7" ht="15.75" thickBot="1" x14ac:dyDescent="0.3">
      <c r="C274" s="65" t="s">
        <v>58</v>
      </c>
      <c r="D274" s="164"/>
      <c r="E274" s="164"/>
      <c r="F274" s="164"/>
      <c r="G274" s="164"/>
    </row>
    <row r="275" spans="3:7" ht="15.75" thickBot="1" x14ac:dyDescent="0.3">
      <c r="C275" s="65" t="s">
        <v>59</v>
      </c>
      <c r="D275" s="165"/>
      <c r="E275" s="164"/>
      <c r="F275" s="164"/>
      <c r="G275" s="164"/>
    </row>
    <row r="276" spans="3:7" ht="15.75" thickBot="1" x14ac:dyDescent="0.3">
      <c r="C276" s="66" t="s">
        <v>74</v>
      </c>
      <c r="D276" s="165">
        <f>D275+D274</f>
        <v>0</v>
      </c>
      <c r="E276" s="165">
        <f t="shared" ref="E276:G276" si="28">E275+E274</f>
        <v>0</v>
      </c>
      <c r="F276" s="165">
        <f t="shared" si="28"/>
        <v>0</v>
      </c>
      <c r="G276" s="165">
        <f t="shared" si="28"/>
        <v>0</v>
      </c>
    </row>
    <row r="277" spans="3:7" ht="15.75" thickBot="1" x14ac:dyDescent="0.3">
      <c r="C277" s="175"/>
      <c r="D277" s="176"/>
      <c r="E277" s="176"/>
      <c r="F277" s="176"/>
      <c r="G277" s="176"/>
    </row>
    <row r="278" spans="3:7" ht="30.75" thickBot="1" x14ac:dyDescent="0.3">
      <c r="C278" s="158" t="s">
        <v>82</v>
      </c>
      <c r="D278" s="177">
        <f>D266+D248+D228+D210+D184+D159+D134+D116+D96+D75+D49+D26</f>
        <v>392900</v>
      </c>
      <c r="E278" s="177">
        <f>E266+E248+E228+E210+E184+E159+E134+E116+E96+E75+E49+E26</f>
        <v>383100</v>
      </c>
      <c r="F278" s="177">
        <f>F266+F248+F228+F210+F184+F159+F134+F116+F96+F75+F49+F26</f>
        <v>385000</v>
      </c>
      <c r="G278" s="177">
        <f>G266+G248+G228+G210+G184+G159+G134+G116+G96+G75+G49+G26</f>
        <v>385499</v>
      </c>
    </row>
    <row r="279" spans="3:7" ht="30.75" thickBot="1" x14ac:dyDescent="0.3">
      <c r="C279" s="158" t="s">
        <v>83</v>
      </c>
      <c r="D279" s="177">
        <f>D281+D283+D285+D287+D289+D291+D293+D295+D297</f>
        <v>392900</v>
      </c>
      <c r="E279" s="177">
        <f>E281+E283+E285+E287+E289+E291+E293+E295+E297</f>
        <v>383100</v>
      </c>
      <c r="F279" s="177">
        <f>F281+F283+F285+F287+F289+F291+F293+F295+F297</f>
        <v>385000</v>
      </c>
      <c r="G279" s="177">
        <f>G281+G283+G285+G287+G289+G291+G293+G295+G297</f>
        <v>385499</v>
      </c>
    </row>
    <row r="280" spans="3:7" ht="30.75" thickBot="1" x14ac:dyDescent="0.3">
      <c r="C280" s="178" t="s">
        <v>84</v>
      </c>
      <c r="D280" s="179"/>
      <c r="E280" s="180">
        <f>E279/D279-1</f>
        <v>-2.4942733519979665E-2</v>
      </c>
      <c r="F280" s="180">
        <f t="shared" ref="F280:G280" si="29">F279/E279-1</f>
        <v>4.9595405899243161E-3</v>
      </c>
      <c r="G280" s="180">
        <f t="shared" si="29"/>
        <v>1.2961038961039062E-3</v>
      </c>
    </row>
    <row r="281" spans="3:7" ht="15.75" thickBot="1" x14ac:dyDescent="0.3">
      <c r="C281" s="65" t="s">
        <v>26</v>
      </c>
      <c r="D281" s="164">
        <f>D192+D169+D57+D34</f>
        <v>242600</v>
      </c>
      <c r="E281" s="164">
        <f>E192+E169+E57+E34</f>
        <v>234800</v>
      </c>
      <c r="F281" s="164">
        <f>F192+F169+F57+F34</f>
        <v>236700</v>
      </c>
      <c r="G281" s="164">
        <f>G192+G169+G57+G34</f>
        <v>236999</v>
      </c>
    </row>
    <row r="282" spans="3:7" ht="15.75" thickBot="1" x14ac:dyDescent="0.3">
      <c r="C282" s="181" t="s">
        <v>85</v>
      </c>
      <c r="D282" s="165"/>
      <c r="E282" s="182">
        <f>E281/D281-1</f>
        <v>-3.215169002473206E-2</v>
      </c>
      <c r="F282" s="182">
        <f t="shared" ref="F282:G282" si="30">F281/E281-1</f>
        <v>8.0919931856899829E-3</v>
      </c>
      <c r="G282" s="182">
        <f t="shared" si="30"/>
        <v>1.263202365863858E-3</v>
      </c>
    </row>
    <row r="283" spans="3:7" ht="30.75" thickBot="1" x14ac:dyDescent="0.3">
      <c r="C283" s="65" t="s">
        <v>28</v>
      </c>
      <c r="D283" s="164">
        <f>D193+D170+D58+D35</f>
        <v>39300</v>
      </c>
      <c r="E283" s="164">
        <f>E193+E170+E58+E35</f>
        <v>37300</v>
      </c>
      <c r="F283" s="164">
        <f>F193+F170+F58+F35</f>
        <v>37300</v>
      </c>
      <c r="G283" s="164">
        <f>G193+G170+G58+G35</f>
        <v>37500</v>
      </c>
    </row>
    <row r="284" spans="3:7" ht="30.75" thickBot="1" x14ac:dyDescent="0.3">
      <c r="C284" s="181" t="s">
        <v>86</v>
      </c>
      <c r="D284" s="165"/>
      <c r="E284" s="182">
        <f>E283/D283-1</f>
        <v>-5.0890585241730291E-2</v>
      </c>
      <c r="F284" s="182">
        <f t="shared" ref="F284:G284" si="31">F283/E283-1</f>
        <v>0</v>
      </c>
      <c r="G284" s="182">
        <f t="shared" si="31"/>
        <v>5.3619302949061698E-3</v>
      </c>
    </row>
    <row r="285" spans="3:7" ht="15.75" thickBot="1" x14ac:dyDescent="0.3">
      <c r="C285" s="65" t="s">
        <v>30</v>
      </c>
      <c r="D285" s="236">
        <f>D194+D171+D59+D36</f>
        <v>90850</v>
      </c>
      <c r="E285" s="236">
        <f>E194+E171+E59+E36</f>
        <v>90850</v>
      </c>
      <c r="F285" s="236">
        <f>F194+F171+F59+F36</f>
        <v>90850</v>
      </c>
      <c r="G285" s="236">
        <f>G194+G171+G59+G36</f>
        <v>90850</v>
      </c>
    </row>
    <row r="286" spans="3:7" ht="15.75" thickBot="1" x14ac:dyDescent="0.3">
      <c r="C286" s="181" t="s">
        <v>87</v>
      </c>
      <c r="D286" s="165"/>
      <c r="E286" s="182">
        <f>E285/D285-1</f>
        <v>0</v>
      </c>
      <c r="F286" s="182">
        <f t="shared" ref="F286:G286" si="32">F285/E285-1</f>
        <v>0</v>
      </c>
      <c r="G286" s="182">
        <f t="shared" si="32"/>
        <v>0</v>
      </c>
    </row>
    <row r="287" spans="3:7" ht="15.75" thickBot="1" x14ac:dyDescent="0.3">
      <c r="C287" s="65" t="s">
        <v>32</v>
      </c>
      <c r="D287" s="164">
        <f>D195+D172+D60+D37</f>
        <v>0</v>
      </c>
      <c r="E287" s="164">
        <f>E195+E172+E60+E37</f>
        <v>0</v>
      </c>
      <c r="F287" s="164">
        <f>F195+F172+F60+F37</f>
        <v>0</v>
      </c>
      <c r="G287" s="164">
        <f>G195+G172+G60+G37</f>
        <v>0</v>
      </c>
    </row>
    <row r="288" spans="3:7" ht="15.75" thickBot="1" x14ac:dyDescent="0.3">
      <c r="C288" s="181" t="s">
        <v>88</v>
      </c>
      <c r="D288" s="165"/>
      <c r="E288" s="182" t="e">
        <f>E287/D287-1</f>
        <v>#DIV/0!</v>
      </c>
      <c r="F288" s="182" t="e">
        <f t="shared" ref="F288:G288" si="33">F287/E287-1</f>
        <v>#DIV/0!</v>
      </c>
      <c r="G288" s="182" t="e">
        <f t="shared" si="33"/>
        <v>#DIV/0!</v>
      </c>
    </row>
    <row r="289" spans="3:7" ht="15.75" thickBot="1" x14ac:dyDescent="0.3">
      <c r="C289" s="65" t="s">
        <v>34</v>
      </c>
      <c r="D289" s="164">
        <f>D196+D173+D61+D38</f>
        <v>0</v>
      </c>
      <c r="E289" s="164">
        <f>E196+E173+E61+E38</f>
        <v>0</v>
      </c>
      <c r="F289" s="164">
        <f>F196+F173+F61+F38</f>
        <v>0</v>
      </c>
      <c r="G289" s="164">
        <f>G196+G173+G61+G38</f>
        <v>0</v>
      </c>
    </row>
    <row r="290" spans="3:7" ht="15.75" thickBot="1" x14ac:dyDescent="0.3">
      <c r="C290" s="181" t="s">
        <v>89</v>
      </c>
      <c r="D290" s="165"/>
      <c r="E290" s="182" t="e">
        <f>E289/D289-1</f>
        <v>#DIV/0!</v>
      </c>
      <c r="F290" s="182" t="e">
        <f t="shared" ref="F290:G290" si="34">F289/E289-1</f>
        <v>#DIV/0!</v>
      </c>
      <c r="G290" s="182" t="e">
        <f t="shared" si="34"/>
        <v>#DIV/0!</v>
      </c>
    </row>
    <row r="291" spans="3:7" ht="15.75" thickBot="1" x14ac:dyDescent="0.3">
      <c r="C291" s="65" t="s">
        <v>36</v>
      </c>
      <c r="D291" s="164">
        <f>D197+D174+D62+D39</f>
        <v>150</v>
      </c>
      <c r="E291" s="164">
        <f>E197+E174+E62+E39</f>
        <v>150</v>
      </c>
      <c r="F291" s="164">
        <f>F197+F174+F62+F39</f>
        <v>150</v>
      </c>
      <c r="G291" s="164">
        <f>G197+G174+G62+G39</f>
        <v>150</v>
      </c>
    </row>
    <row r="292" spans="3:7" ht="15.75" thickBot="1" x14ac:dyDescent="0.3">
      <c r="C292" s="181" t="s">
        <v>90</v>
      </c>
      <c r="D292" s="165"/>
      <c r="E292" s="182">
        <f>E291/D291-1</f>
        <v>0</v>
      </c>
      <c r="F292" s="182">
        <f t="shared" ref="F292:G292" si="35">F291/E291-1</f>
        <v>0</v>
      </c>
      <c r="G292" s="182">
        <f t="shared" si="35"/>
        <v>0</v>
      </c>
    </row>
    <row r="293" spans="3:7" ht="30.75" thickBot="1" x14ac:dyDescent="0.3">
      <c r="C293" s="65" t="s">
        <v>38</v>
      </c>
      <c r="D293" s="164">
        <f>D198+D175+D63+D40</f>
        <v>0</v>
      </c>
      <c r="E293" s="164">
        <f>E198+E175+E63+E40</f>
        <v>0</v>
      </c>
      <c r="F293" s="164">
        <f>F198+F175+F63+F40</f>
        <v>0</v>
      </c>
      <c r="G293" s="164">
        <f>G198+G175+G63+G40</f>
        <v>0</v>
      </c>
    </row>
    <row r="294" spans="3:7" ht="30.75" thickBot="1" x14ac:dyDescent="0.3">
      <c r="C294" s="181" t="s">
        <v>91</v>
      </c>
      <c r="D294" s="165"/>
      <c r="E294" s="182" t="e">
        <f>E293/D293-1</f>
        <v>#DIV/0!</v>
      </c>
      <c r="F294" s="182" t="e">
        <f t="shared" ref="F294:G294" si="36">F293/E293-1</f>
        <v>#DIV/0!</v>
      </c>
      <c r="G294" s="182" t="e">
        <f t="shared" si="36"/>
        <v>#DIV/0!</v>
      </c>
    </row>
    <row r="295" spans="3:7" ht="15.75" thickBot="1" x14ac:dyDescent="0.3">
      <c r="C295" s="65" t="s">
        <v>92</v>
      </c>
      <c r="D295" s="164">
        <f>D83+D104+D124+D141+D218+D236+D256+D274</f>
        <v>1400</v>
      </c>
      <c r="E295" s="164">
        <f>E83+E104+E124+E141+E218+E236+E256+E274</f>
        <v>0</v>
      </c>
      <c r="F295" s="164">
        <f>F83+F104+F124+F141+F218+F236+F256+F274</f>
        <v>0</v>
      </c>
      <c r="G295" s="164">
        <f>G83+G104+G124+G141+G218+G236+G256+G274</f>
        <v>0</v>
      </c>
    </row>
    <row r="296" spans="3:7" ht="15.75" thickBot="1" x14ac:dyDescent="0.3">
      <c r="C296" s="181" t="s">
        <v>93</v>
      </c>
      <c r="D296" s="165"/>
      <c r="E296" s="182">
        <f>E295/D295-1</f>
        <v>-1</v>
      </c>
      <c r="F296" s="182">
        <v>0</v>
      </c>
      <c r="G296" s="182">
        <v>0</v>
      </c>
    </row>
    <row r="297" spans="3:7" ht="15.75" thickBot="1" x14ac:dyDescent="0.3">
      <c r="C297" s="65" t="s">
        <v>94</v>
      </c>
      <c r="D297" s="164">
        <f>D84+D105+D125+D142+D219+D237+D257+D275</f>
        <v>18600</v>
      </c>
      <c r="E297" s="164">
        <f>E84+E105+E125+E142+E219+E237+E257+E275</f>
        <v>20000</v>
      </c>
      <c r="F297" s="164">
        <f>F84+F105+F125+F142+F219+F237+F257+F275</f>
        <v>20000</v>
      </c>
      <c r="G297" s="164">
        <f>G84+G105+G125+G142+G219+G237+G257+G275</f>
        <v>20000</v>
      </c>
    </row>
    <row r="298" spans="3:7" ht="15.75" thickBot="1" x14ac:dyDescent="0.3">
      <c r="C298" s="181" t="s">
        <v>95</v>
      </c>
      <c r="D298" s="165"/>
      <c r="E298" s="182">
        <f>E297/D297-1</f>
        <v>7.5268817204301008E-2</v>
      </c>
      <c r="F298" s="182">
        <f t="shared" ref="F298:G298" si="37">F297/E297-1</f>
        <v>0</v>
      </c>
      <c r="G298" s="182">
        <f t="shared" si="37"/>
        <v>0</v>
      </c>
    </row>
    <row r="299" spans="3:7" ht="15.75" thickBot="1" x14ac:dyDescent="0.3">
      <c r="C299" s="166" t="s">
        <v>41</v>
      </c>
      <c r="D299" s="167">
        <f>IF(D279-D278=0,0,"Error")</f>
        <v>0</v>
      </c>
      <c r="E299" s="167">
        <f t="shared" ref="E299:G299" si="38">IF(E279-E278=0,0,"Error")</f>
        <v>0</v>
      </c>
      <c r="F299" s="167">
        <f t="shared" si="38"/>
        <v>0</v>
      </c>
      <c r="G299" s="167">
        <f t="shared" si="38"/>
        <v>0</v>
      </c>
    </row>
    <row r="300" spans="3:7" ht="30.75" thickBot="1" x14ac:dyDescent="0.3">
      <c r="C300" s="183" t="s">
        <v>96</v>
      </c>
      <c r="D300" s="164">
        <v>191</v>
      </c>
      <c r="E300" s="164">
        <v>191</v>
      </c>
      <c r="F300" s="164">
        <v>191</v>
      </c>
      <c r="G300" s="164">
        <v>191</v>
      </c>
    </row>
  </sheetData>
  <mergeCells count="108">
    <mergeCell ref="D260:G260"/>
    <mergeCell ref="D261:G261"/>
    <mergeCell ref="D262:G262"/>
    <mergeCell ref="C263:C264"/>
    <mergeCell ref="C271:G271"/>
    <mergeCell ref="C272:C273"/>
    <mergeCell ref="D243:G243"/>
    <mergeCell ref="D244:G244"/>
    <mergeCell ref="C245:C246"/>
    <mergeCell ref="C253:G253"/>
    <mergeCell ref="C254:C255"/>
    <mergeCell ref="D259:G259"/>
    <mergeCell ref="C233:G233"/>
    <mergeCell ref="C234:C235"/>
    <mergeCell ref="C239:G239"/>
    <mergeCell ref="C240:G240"/>
    <mergeCell ref="D241:G241"/>
    <mergeCell ref="D242:G242"/>
    <mergeCell ref="C216:C217"/>
    <mergeCell ref="D221:G221"/>
    <mergeCell ref="D222:G222"/>
    <mergeCell ref="D223:G223"/>
    <mergeCell ref="D224:G224"/>
    <mergeCell ref="C225:C226"/>
    <mergeCell ref="D203:G203"/>
    <mergeCell ref="D204:G204"/>
    <mergeCell ref="D205:G205"/>
    <mergeCell ref="D206:G206"/>
    <mergeCell ref="C207:C208"/>
    <mergeCell ref="C215:G215"/>
    <mergeCell ref="D180:G180"/>
    <mergeCell ref="C181:C182"/>
    <mergeCell ref="C189:G189"/>
    <mergeCell ref="C190:C191"/>
    <mergeCell ref="C201:G201"/>
    <mergeCell ref="C202:G202"/>
    <mergeCell ref="C156:C157"/>
    <mergeCell ref="C164:C165"/>
    <mergeCell ref="C166:G166"/>
    <mergeCell ref="C167:C168"/>
    <mergeCell ref="D178:G178"/>
    <mergeCell ref="D179:G179"/>
    <mergeCell ref="C149:G149"/>
    <mergeCell ref="C150:G150"/>
    <mergeCell ref="C151:C152"/>
    <mergeCell ref="D153:G153"/>
    <mergeCell ref="D154:G154"/>
    <mergeCell ref="D155:G155"/>
    <mergeCell ref="D129:G129"/>
    <mergeCell ref="D130:G130"/>
    <mergeCell ref="C131:C132"/>
    <mergeCell ref="C139:G139"/>
    <mergeCell ref="D144:G144"/>
    <mergeCell ref="C145:G145"/>
    <mergeCell ref="D112:G112"/>
    <mergeCell ref="C113:C114"/>
    <mergeCell ref="C121:G121"/>
    <mergeCell ref="C122:C123"/>
    <mergeCell ref="D127:G127"/>
    <mergeCell ref="D128:G128"/>
    <mergeCell ref="C102:C103"/>
    <mergeCell ref="C107:G107"/>
    <mergeCell ref="C108:G108"/>
    <mergeCell ref="D109:G109"/>
    <mergeCell ref="D110:G110"/>
    <mergeCell ref="D111:G111"/>
    <mergeCell ref="D89:G89"/>
    <mergeCell ref="D90:G90"/>
    <mergeCell ref="D91:G91"/>
    <mergeCell ref="D92:G92"/>
    <mergeCell ref="C93:C94"/>
    <mergeCell ref="C101:G101"/>
    <mergeCell ref="D71:G71"/>
    <mergeCell ref="C72:C73"/>
    <mergeCell ref="C80:G80"/>
    <mergeCell ref="C81:C82"/>
    <mergeCell ref="C86:C88"/>
    <mergeCell ref="D86:G88"/>
    <mergeCell ref="C55:C56"/>
    <mergeCell ref="C66:G66"/>
    <mergeCell ref="C67:G67"/>
    <mergeCell ref="D68:G68"/>
    <mergeCell ref="D69:G69"/>
    <mergeCell ref="D70:G70"/>
    <mergeCell ref="C32:C33"/>
    <mergeCell ref="D43:G43"/>
    <mergeCell ref="D44:G44"/>
    <mergeCell ref="D45:G45"/>
    <mergeCell ref="C47:C48"/>
    <mergeCell ref="C54:G54"/>
    <mergeCell ref="C19:G19"/>
    <mergeCell ref="D20:G20"/>
    <mergeCell ref="D21:G21"/>
    <mergeCell ref="D22:G22"/>
    <mergeCell ref="C23:C24"/>
    <mergeCell ref="C31:G31"/>
    <mergeCell ref="C10:G10"/>
    <mergeCell ref="D11:G11"/>
    <mergeCell ref="C12:C13"/>
    <mergeCell ref="D15:G15"/>
    <mergeCell ref="C16:G16"/>
    <mergeCell ref="C18:G18"/>
    <mergeCell ref="C3:G3"/>
    <mergeCell ref="C4:G4"/>
    <mergeCell ref="D6:G6"/>
    <mergeCell ref="D7:G7"/>
    <mergeCell ref="D8:G8"/>
    <mergeCell ref="C9:G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372"/>
  <sheetViews>
    <sheetView topLeftCell="A341" zoomScale="110" zoomScaleNormal="110" workbookViewId="0">
      <selection activeCell="H141" sqref="H141"/>
    </sheetView>
  </sheetViews>
  <sheetFormatPr defaultRowHeight="15" x14ac:dyDescent="0.25"/>
  <cols>
    <col min="1" max="1" width="10.7109375" style="152" customWidth="1"/>
    <col min="2" max="2" width="36.42578125" style="152" customWidth="1"/>
    <col min="3" max="6" width="21.42578125" style="152" customWidth="1"/>
    <col min="7" max="7" width="13.28515625" style="152" customWidth="1"/>
    <col min="8" max="8" width="18.42578125" style="152" customWidth="1"/>
    <col min="9" max="9" width="15.85546875" style="152" customWidth="1"/>
    <col min="10" max="10" width="11" style="152" bestFit="1" customWidth="1"/>
    <col min="11" max="16384" width="9.140625" style="152"/>
  </cols>
  <sheetData>
    <row r="2" spans="2:11" ht="18" customHeight="1" x14ac:dyDescent="0.25">
      <c r="B2" s="762" t="s">
        <v>0</v>
      </c>
      <c r="C2" s="762"/>
      <c r="D2" s="762"/>
      <c r="E2" s="762"/>
      <c r="F2" s="762"/>
      <c r="G2" s="1"/>
    </row>
    <row r="3" spans="2:11" ht="15.75" thickBot="1" x14ac:dyDescent="0.3"/>
    <row r="4" spans="2:11" ht="15.75" thickBot="1" x14ac:dyDescent="0.3">
      <c r="B4" s="153" t="s">
        <v>2</v>
      </c>
      <c r="C4" s="979" t="s">
        <v>354</v>
      </c>
      <c r="D4" s="979"/>
      <c r="E4" s="979"/>
      <c r="F4" s="979"/>
    </row>
    <row r="5" spans="2:11" ht="15.75" thickBot="1" x14ac:dyDescent="0.3">
      <c r="B5" s="153" t="s">
        <v>3</v>
      </c>
      <c r="C5" s="1048" t="s">
        <v>4</v>
      </c>
      <c r="D5" s="981"/>
      <c r="E5" s="981"/>
      <c r="F5" s="982"/>
    </row>
    <row r="6" spans="2:11" ht="15.75" thickBot="1" x14ac:dyDescent="0.3">
      <c r="B6" s="153" t="s">
        <v>5</v>
      </c>
      <c r="C6" s="983" t="s">
        <v>6</v>
      </c>
      <c r="D6" s="984"/>
      <c r="E6" s="984"/>
      <c r="F6" s="985"/>
    </row>
    <row r="7" spans="2:11" ht="15.75" thickBot="1" x14ac:dyDescent="0.3">
      <c r="B7" s="986" t="s">
        <v>7</v>
      </c>
      <c r="C7" s="987"/>
      <c r="D7" s="987"/>
      <c r="E7" s="987"/>
      <c r="F7" s="988"/>
    </row>
    <row r="8" spans="2:11" ht="15" customHeight="1" x14ac:dyDescent="0.25">
      <c r="B8" s="1104" t="s">
        <v>355</v>
      </c>
      <c r="C8" s="1105"/>
      <c r="D8" s="1105"/>
      <c r="E8" s="1105"/>
      <c r="F8" s="1106"/>
    </row>
    <row r="9" spans="2:11" ht="36.75" customHeight="1" x14ac:dyDescent="0.25">
      <c r="B9" s="1107"/>
      <c r="C9" s="1108"/>
      <c r="D9" s="1108"/>
      <c r="E9" s="1108"/>
      <c r="F9" s="1109"/>
    </row>
    <row r="10" spans="2:11" ht="15.75" thickBot="1" x14ac:dyDescent="0.3">
      <c r="B10" s="1110"/>
      <c r="C10" s="1111"/>
      <c r="D10" s="1111"/>
      <c r="E10" s="1111"/>
      <c r="F10" s="1112"/>
    </row>
    <row r="11" spans="2:11" ht="44.25" customHeight="1" thickBot="1" x14ac:dyDescent="0.3">
      <c r="B11" s="154" t="s">
        <v>8</v>
      </c>
      <c r="C11" s="1007" t="s">
        <v>356</v>
      </c>
      <c r="D11" s="1006"/>
      <c r="E11" s="1006"/>
      <c r="F11" s="1008"/>
    </row>
    <row r="12" spans="2:11" ht="23.25" customHeight="1" x14ac:dyDescent="0.25">
      <c r="B12" s="998" t="s">
        <v>102</v>
      </c>
      <c r="C12" s="155">
        <v>2018</v>
      </c>
      <c r="D12" s="155">
        <v>2019</v>
      </c>
      <c r="E12" s="155">
        <v>2020</v>
      </c>
      <c r="F12" s="155">
        <v>2021</v>
      </c>
    </row>
    <row r="13" spans="2:11" ht="15.75" thickBot="1" x14ac:dyDescent="0.3">
      <c r="B13" s="999"/>
      <c r="C13" s="156" t="s">
        <v>10</v>
      </c>
      <c r="D13" s="156" t="s">
        <v>11</v>
      </c>
      <c r="E13" s="156" t="s">
        <v>11</v>
      </c>
      <c r="F13" s="156" t="s">
        <v>11</v>
      </c>
    </row>
    <row r="14" spans="2:11" ht="45.75" thickBot="1" x14ac:dyDescent="0.3">
      <c r="B14" s="146" t="s">
        <v>357</v>
      </c>
      <c r="C14" s="237">
        <v>0.98</v>
      </c>
      <c r="D14" s="237">
        <v>0.98</v>
      </c>
      <c r="E14" s="237">
        <v>0.99</v>
      </c>
      <c r="F14" s="237">
        <v>0.99</v>
      </c>
    </row>
    <row r="15" spans="2:11" ht="34.5" customHeight="1" thickBot="1" x14ac:dyDescent="0.3">
      <c r="B15" s="158" t="s">
        <v>12</v>
      </c>
      <c r="C15" s="1007" t="s">
        <v>358</v>
      </c>
      <c r="D15" s="1006"/>
      <c r="E15" s="1006"/>
      <c r="F15" s="1008"/>
    </row>
    <row r="16" spans="2:11" ht="23.25" customHeight="1" thickBot="1" x14ac:dyDescent="0.3">
      <c r="B16" s="983" t="s">
        <v>803</v>
      </c>
      <c r="C16" s="984"/>
      <c r="D16" s="984"/>
      <c r="E16" s="984"/>
      <c r="F16" s="985"/>
      <c r="I16" s="159"/>
      <c r="K16" s="159"/>
    </row>
    <row r="17" spans="2:12" ht="57" customHeight="1" thickBot="1" x14ac:dyDescent="0.3">
      <c r="B17" s="238" t="s">
        <v>359</v>
      </c>
      <c r="C17" s="239">
        <v>0.98</v>
      </c>
      <c r="D17" s="239">
        <v>0.98</v>
      </c>
      <c r="E17" s="239">
        <v>0.99</v>
      </c>
      <c r="F17" s="239">
        <v>0.99</v>
      </c>
    </row>
    <row r="18" spans="2:12" ht="15.75" thickBot="1" x14ac:dyDescent="0.3">
      <c r="B18" s="989" t="s">
        <v>14</v>
      </c>
      <c r="C18" s="990"/>
      <c r="D18" s="990"/>
      <c r="E18" s="990"/>
      <c r="F18" s="991"/>
    </row>
    <row r="19" spans="2:12" ht="15.75" thickBot="1" x14ac:dyDescent="0.3">
      <c r="B19" s="989" t="s">
        <v>104</v>
      </c>
      <c r="C19" s="990"/>
      <c r="D19" s="990"/>
      <c r="E19" s="990"/>
      <c r="F19" s="991"/>
    </row>
    <row r="20" spans="2:12" ht="15.75" customHeight="1" thickBot="1" x14ac:dyDescent="0.3">
      <c r="B20" s="160" t="s">
        <v>163</v>
      </c>
      <c r="C20" s="1007" t="s">
        <v>360</v>
      </c>
      <c r="D20" s="1006"/>
      <c r="E20" s="1006"/>
      <c r="F20" s="1008"/>
    </row>
    <row r="21" spans="2:12" ht="31.5" customHeight="1" thickBot="1" x14ac:dyDescent="0.3">
      <c r="B21" s="62" t="s">
        <v>17</v>
      </c>
      <c r="C21" s="1007" t="s">
        <v>361</v>
      </c>
      <c r="D21" s="1006"/>
      <c r="E21" s="1006"/>
      <c r="F21" s="1008"/>
    </row>
    <row r="22" spans="2:12" ht="15.75" thickBot="1" x14ac:dyDescent="0.3">
      <c r="B22" s="62" t="s">
        <v>18</v>
      </c>
      <c r="C22" s="1101" t="s">
        <v>362</v>
      </c>
      <c r="D22" s="1102"/>
      <c r="E22" s="1102"/>
      <c r="F22" s="1103"/>
    </row>
    <row r="23" spans="2:12" ht="12.75" customHeight="1" x14ac:dyDescent="0.25">
      <c r="B23" s="998"/>
      <c r="C23" s="63">
        <v>2018</v>
      </c>
      <c r="D23" s="63">
        <v>2019</v>
      </c>
      <c r="E23" s="63">
        <v>2020</v>
      </c>
      <c r="F23" s="63">
        <v>2021</v>
      </c>
    </row>
    <row r="24" spans="2:12" ht="25.5" customHeight="1" thickBot="1" x14ac:dyDescent="0.3">
      <c r="B24" s="999"/>
      <c r="C24" s="64" t="s">
        <v>10</v>
      </c>
      <c r="D24" s="64" t="s">
        <v>11</v>
      </c>
      <c r="E24" s="64" t="s">
        <v>11</v>
      </c>
      <c r="F24" s="64" t="s">
        <v>11</v>
      </c>
    </row>
    <row r="25" spans="2:12" ht="15.75" thickBot="1" x14ac:dyDescent="0.3">
      <c r="B25" s="62" t="s">
        <v>19</v>
      </c>
      <c r="C25" s="161">
        <v>1</v>
      </c>
      <c r="D25" s="161">
        <v>1</v>
      </c>
      <c r="E25" s="161">
        <v>1</v>
      </c>
      <c r="F25" s="161">
        <v>1</v>
      </c>
    </row>
    <row r="26" spans="2:12" ht="15.75" thickBot="1" x14ac:dyDescent="0.3">
      <c r="B26" s="62" t="s">
        <v>20</v>
      </c>
      <c r="C26" s="161">
        <f>'[2]Formati 2 Politika Ekzistuese'!D31</f>
        <v>29000</v>
      </c>
      <c r="D26" s="161">
        <f>'[2]Formati 2 Politika Ekzistuese'!E31</f>
        <v>32150</v>
      </c>
      <c r="E26" s="161">
        <f>'[2]Formati 2 Politika Ekzistuese'!F31</f>
        <v>33442</v>
      </c>
      <c r="F26" s="161">
        <f>'[2]Formati 2 Politika Ekzistuese'!G31</f>
        <v>33500</v>
      </c>
    </row>
    <row r="27" spans="2:12" ht="15.75" thickBot="1" x14ac:dyDescent="0.3">
      <c r="B27" s="62" t="s">
        <v>21</v>
      </c>
      <c r="C27" s="240">
        <f>C26/C25</f>
        <v>29000</v>
      </c>
      <c r="D27" s="240">
        <f>D26/D25</f>
        <v>32150</v>
      </c>
      <c r="E27" s="240">
        <f t="shared" ref="E27:F27" si="0">E26/E25</f>
        <v>33442</v>
      </c>
      <c r="F27" s="240">
        <f t="shared" si="0"/>
        <v>33500</v>
      </c>
    </row>
    <row r="28" spans="2:12" ht="15.75" thickBot="1" x14ac:dyDescent="0.3">
      <c r="B28" s="62" t="s">
        <v>22</v>
      </c>
      <c r="C28" s="145" t="s">
        <v>23</v>
      </c>
      <c r="D28" s="162"/>
      <c r="E28" s="162"/>
      <c r="F28" s="162"/>
      <c r="K28" s="163"/>
      <c r="L28" s="163"/>
    </row>
    <row r="29" spans="2:12" ht="15.75" thickBot="1" x14ac:dyDescent="0.3">
      <c r="B29" s="62" t="s">
        <v>24</v>
      </c>
      <c r="C29" s="145" t="s">
        <v>23</v>
      </c>
      <c r="D29" s="162">
        <f>D26/C26-1</f>
        <v>0.10862068965517246</v>
      </c>
      <c r="E29" s="162">
        <f t="shared" ref="E29:F30" si="1">E26/D26-1</f>
        <v>4.0186625194401193E-2</v>
      </c>
      <c r="F29" s="162">
        <f t="shared" si="1"/>
        <v>1.7343460319358961E-3</v>
      </c>
    </row>
    <row r="30" spans="2:12" ht="15.75" thickBot="1" x14ac:dyDescent="0.3">
      <c r="B30" s="62" t="s">
        <v>25</v>
      </c>
      <c r="C30" s="145" t="s">
        <v>23</v>
      </c>
      <c r="D30" s="162">
        <f>D27/C27-1</f>
        <v>0.10862068965517246</v>
      </c>
      <c r="E30" s="162">
        <f t="shared" si="1"/>
        <v>4.0186625194401193E-2</v>
      </c>
      <c r="F30" s="162">
        <f t="shared" si="1"/>
        <v>1.7343460319358961E-3</v>
      </c>
    </row>
    <row r="31" spans="2:12" ht="15.75" thickBot="1" x14ac:dyDescent="0.3">
      <c r="B31" s="1000" t="s">
        <v>804</v>
      </c>
      <c r="C31" s="1001"/>
      <c r="D31" s="1001"/>
      <c r="E31" s="1001"/>
      <c r="F31" s="1002"/>
    </row>
    <row r="32" spans="2:12" ht="12.75" customHeight="1" x14ac:dyDescent="0.25">
      <c r="B32" s="998"/>
      <c r="C32" s="63">
        <v>2018</v>
      </c>
      <c r="D32" s="63">
        <v>2019</v>
      </c>
      <c r="E32" s="63">
        <v>2020</v>
      </c>
      <c r="F32" s="63">
        <v>2021</v>
      </c>
    </row>
    <row r="33" spans="2:10" ht="21.75" customHeight="1" thickBot="1" x14ac:dyDescent="0.3">
      <c r="B33" s="999"/>
      <c r="C33" s="64" t="s">
        <v>10</v>
      </c>
      <c r="D33" s="64" t="s">
        <v>11</v>
      </c>
      <c r="E33" s="64" t="s">
        <v>11</v>
      </c>
      <c r="F33" s="64" t="s">
        <v>11</v>
      </c>
    </row>
    <row r="34" spans="2:10" ht="22.5" customHeight="1" thickBot="1" x14ac:dyDescent="0.3">
      <c r="B34" s="65" t="s">
        <v>26</v>
      </c>
      <c r="C34" s="164">
        <f>'[2]Formati 2 Politika Ekzistuese'!D39</f>
        <v>20000</v>
      </c>
      <c r="D34" s="164">
        <f>'[2]Formati 2 Politika Ekzistuese'!E39</f>
        <v>23000</v>
      </c>
      <c r="E34" s="164">
        <f>'[2]Formati 2 Politika Ekzistuese'!F39</f>
        <v>24142</v>
      </c>
      <c r="F34" s="164">
        <f>'[2]Formati 2 Politika Ekzistuese'!G39</f>
        <v>24000</v>
      </c>
    </row>
    <row r="35" spans="2:10" ht="30.75" thickBot="1" x14ac:dyDescent="0.3">
      <c r="B35" s="65" t="s">
        <v>28</v>
      </c>
      <c r="C35" s="164">
        <f>'[2]Formati 2 Politika Ekzistuese'!D42</f>
        <v>4000</v>
      </c>
      <c r="D35" s="164">
        <f>'[2]Formati 2 Politika Ekzistuese'!E42</f>
        <v>4000</v>
      </c>
      <c r="E35" s="164">
        <f>'[2]Formati 2 Politika Ekzistuese'!F42</f>
        <v>4000</v>
      </c>
      <c r="F35" s="164">
        <f>'[2]Formati 2 Politika Ekzistuese'!G42</f>
        <v>4000</v>
      </c>
      <c r="G35" s="88"/>
      <c r="H35" s="88"/>
      <c r="I35" s="88"/>
      <c r="J35" s="88"/>
    </row>
    <row r="36" spans="2:10" ht="15.75" thickBot="1" x14ac:dyDescent="0.3">
      <c r="B36" s="65" t="s">
        <v>30</v>
      </c>
      <c r="C36" s="165">
        <f>'[2]Formati 2 Politika Ekzistuese'!D45</f>
        <v>5000</v>
      </c>
      <c r="D36" s="165">
        <f>'[2]Formati 2 Politika Ekzistuese'!E45</f>
        <v>5150</v>
      </c>
      <c r="E36" s="165">
        <f>'[2]Formati 2 Politika Ekzistuese'!F45</f>
        <v>5300</v>
      </c>
      <c r="F36" s="165">
        <f>'[2]Formati 2 Politika Ekzistuese'!G45</f>
        <v>5500</v>
      </c>
      <c r="G36" s="88"/>
      <c r="H36" s="88"/>
      <c r="I36" s="88"/>
      <c r="J36" s="88"/>
    </row>
    <row r="37" spans="2:10" ht="15.75" thickBot="1" x14ac:dyDescent="0.3">
      <c r="B37" s="65" t="s">
        <v>32</v>
      </c>
      <c r="C37" s="165"/>
      <c r="D37" s="164"/>
      <c r="E37" s="164"/>
      <c r="F37" s="164"/>
    </row>
    <row r="38" spans="2:10" ht="15.75" thickBot="1" x14ac:dyDescent="0.3">
      <c r="B38" s="65" t="s">
        <v>34</v>
      </c>
      <c r="C38" s="165"/>
      <c r="D38" s="164"/>
      <c r="E38" s="164"/>
      <c r="F38" s="164"/>
    </row>
    <row r="39" spans="2:10" ht="15.75" thickBot="1" x14ac:dyDescent="0.3">
      <c r="B39" s="65" t="s">
        <v>36</v>
      </c>
      <c r="C39" s="165"/>
      <c r="D39" s="164"/>
      <c r="E39" s="164"/>
      <c r="F39" s="164"/>
    </row>
    <row r="40" spans="2:10" ht="15.75" thickBot="1" x14ac:dyDescent="0.3">
      <c r="B40" s="65" t="s">
        <v>38</v>
      </c>
      <c r="C40" s="165"/>
      <c r="D40" s="164"/>
      <c r="E40" s="164"/>
      <c r="F40" s="164"/>
    </row>
    <row r="41" spans="2:10" ht="15.75" thickBot="1" x14ac:dyDescent="0.3">
      <c r="B41" s="66" t="s">
        <v>133</v>
      </c>
      <c r="C41" s="241">
        <f>C40+C39+C38+C37+C36+C35+C34</f>
        <v>29000</v>
      </c>
      <c r="D41" s="241">
        <f>D40+D39+D38+D37+D36+D35+D34</f>
        <v>32150</v>
      </c>
      <c r="E41" s="241">
        <f>E40+E39+E38+E37+E36+E35+E34</f>
        <v>33442</v>
      </c>
      <c r="F41" s="241">
        <f>F40+F39+F38+F37+F36+F35+F34</f>
        <v>33500</v>
      </c>
      <c r="G41" s="89"/>
      <c r="H41" s="89"/>
      <c r="I41" s="89"/>
    </row>
    <row r="42" spans="2:10" ht="15.75" thickBot="1" x14ac:dyDescent="0.3">
      <c r="B42" s="166" t="s">
        <v>41</v>
      </c>
      <c r="C42" s="167">
        <f>IF(C41-C26=0,0,"Error")</f>
        <v>0</v>
      </c>
      <c r="D42" s="167">
        <f>IF(D41-D26=0,0,"Error")</f>
        <v>0</v>
      </c>
      <c r="E42" s="167">
        <f>IF(E41-E26=0,0,"Error")</f>
        <v>0</v>
      </c>
      <c r="F42" s="167">
        <f>IF(F41-F26=0,0,"Error")</f>
        <v>0</v>
      </c>
    </row>
    <row r="43" spans="2:10" ht="15.75" thickBot="1" x14ac:dyDescent="0.3">
      <c r="B43" s="989" t="s">
        <v>63</v>
      </c>
      <c r="C43" s="990"/>
      <c r="D43" s="990"/>
      <c r="E43" s="990"/>
      <c r="F43" s="991"/>
    </row>
    <row r="44" spans="2:10" ht="15.75" thickBot="1" x14ac:dyDescent="0.3">
      <c r="B44" s="989" t="s">
        <v>56</v>
      </c>
      <c r="C44" s="990"/>
      <c r="D44" s="990"/>
      <c r="E44" s="990"/>
      <c r="F44" s="991"/>
    </row>
    <row r="45" spans="2:10" ht="15.75" hidden="1" customHeight="1" thickBot="1" x14ac:dyDescent="0.3">
      <c r="B45" s="62" t="s">
        <v>212</v>
      </c>
      <c r="C45" s="157" t="s">
        <v>116</v>
      </c>
      <c r="D45" s="157" t="s">
        <v>117</v>
      </c>
      <c r="E45" s="157" t="s">
        <v>117</v>
      </c>
      <c r="F45" s="157" t="s">
        <v>117</v>
      </c>
    </row>
    <row r="46" spans="2:10" ht="23.25" hidden="1" customHeight="1" thickBot="1" x14ac:dyDescent="0.3">
      <c r="B46" s="62" t="s">
        <v>115</v>
      </c>
      <c r="C46" s="157" t="s">
        <v>116</v>
      </c>
      <c r="D46" s="157" t="s">
        <v>117</v>
      </c>
      <c r="E46" s="157" t="s">
        <v>117</v>
      </c>
      <c r="F46" s="157" t="s">
        <v>117</v>
      </c>
    </row>
    <row r="47" spans="2:10" ht="15.75" thickBot="1" x14ac:dyDescent="0.3">
      <c r="B47" s="242" t="s">
        <v>363</v>
      </c>
      <c r="C47" s="1086" t="s">
        <v>148</v>
      </c>
      <c r="D47" s="1087"/>
      <c r="E47" s="1087"/>
      <c r="F47" s="1088"/>
    </row>
    <row r="48" spans="2:10" ht="15.75" thickBot="1" x14ac:dyDescent="0.3">
      <c r="B48" s="160" t="s">
        <v>364</v>
      </c>
      <c r="C48" s="992" t="s">
        <v>365</v>
      </c>
      <c r="D48" s="993"/>
      <c r="E48" s="993"/>
      <c r="F48" s="994"/>
    </row>
    <row r="49" spans="2:12" ht="17.25" customHeight="1" thickBot="1" x14ac:dyDescent="0.3">
      <c r="B49" s="62" t="s">
        <v>17</v>
      </c>
      <c r="C49" s="983" t="s">
        <v>366</v>
      </c>
      <c r="D49" s="984"/>
      <c r="E49" s="984"/>
      <c r="F49" s="985"/>
    </row>
    <row r="50" spans="2:12" ht="15.75" thickBot="1" x14ac:dyDescent="0.3">
      <c r="B50" s="62" t="s">
        <v>18</v>
      </c>
      <c r="C50" s="995" t="s">
        <v>362</v>
      </c>
      <c r="D50" s="996"/>
      <c r="E50" s="996"/>
      <c r="F50" s="997"/>
    </row>
    <row r="51" spans="2:12" ht="12.75" customHeight="1" x14ac:dyDescent="0.25">
      <c r="B51" s="998"/>
      <c r="C51" s="63">
        <v>2018</v>
      </c>
      <c r="D51" s="63">
        <v>2019</v>
      </c>
      <c r="E51" s="63">
        <v>2020</v>
      </c>
      <c r="F51" s="63">
        <v>2021</v>
      </c>
    </row>
    <row r="52" spans="2:12" ht="21" customHeight="1" thickBot="1" x14ac:dyDescent="0.3">
      <c r="B52" s="999"/>
      <c r="C52" s="64" t="s">
        <v>10</v>
      </c>
      <c r="D52" s="64" t="s">
        <v>11</v>
      </c>
      <c r="E52" s="64" t="s">
        <v>11</v>
      </c>
      <c r="F52" s="64" t="s">
        <v>11</v>
      </c>
    </row>
    <row r="53" spans="2:12" ht="15.75" thickBot="1" x14ac:dyDescent="0.3">
      <c r="B53" s="62" t="s">
        <v>19</v>
      </c>
      <c r="C53" s="161">
        <v>1</v>
      </c>
      <c r="D53" s="161">
        <v>1</v>
      </c>
      <c r="E53" s="161">
        <v>1</v>
      </c>
      <c r="F53" s="161">
        <v>1</v>
      </c>
    </row>
    <row r="54" spans="2:12" ht="15.75" thickBot="1" x14ac:dyDescent="0.3">
      <c r="B54" s="62" t="s">
        <v>20</v>
      </c>
      <c r="C54" s="161">
        <f>'[2]Formati 2 Politika Ekzistuese'!D111</f>
        <v>700</v>
      </c>
      <c r="D54" s="161">
        <f>'[2]Formati 2 Politika Ekzistuese'!E111</f>
        <v>620</v>
      </c>
      <c r="E54" s="161">
        <f>'[2]Formati 2 Politika Ekzistuese'!F111</f>
        <v>750</v>
      </c>
      <c r="F54" s="161">
        <f>'[2]Formati 2 Politika Ekzistuese'!G111</f>
        <v>750</v>
      </c>
    </row>
    <row r="55" spans="2:12" ht="15.75" thickBot="1" x14ac:dyDescent="0.3">
      <c r="B55" s="62" t="s">
        <v>21</v>
      </c>
      <c r="C55" s="161">
        <f>C54/C53</f>
        <v>700</v>
      </c>
      <c r="D55" s="161">
        <f t="shared" ref="D55:F55" si="2">D54/D53</f>
        <v>620</v>
      </c>
      <c r="E55" s="161">
        <f t="shared" si="2"/>
        <v>750</v>
      </c>
      <c r="F55" s="161">
        <f t="shared" si="2"/>
        <v>750</v>
      </c>
    </row>
    <row r="56" spans="2:12" ht="15.75" thickBot="1" x14ac:dyDescent="0.3">
      <c r="B56" s="62" t="s">
        <v>22</v>
      </c>
      <c r="C56" s="145" t="s">
        <v>23</v>
      </c>
      <c r="D56" s="162"/>
      <c r="E56" s="162"/>
      <c r="F56" s="162"/>
      <c r="H56" s="163"/>
      <c r="I56" s="163"/>
      <c r="J56" s="163"/>
      <c r="K56" s="163"/>
      <c r="L56" s="163"/>
    </row>
    <row r="57" spans="2:12" ht="15.75" thickBot="1" x14ac:dyDescent="0.3">
      <c r="B57" s="62" t="s">
        <v>24</v>
      </c>
      <c r="C57" s="145" t="s">
        <v>23</v>
      </c>
      <c r="D57" s="162">
        <f>D54/C54-1</f>
        <v>-0.11428571428571432</v>
      </c>
      <c r="E57" s="162">
        <f t="shared" ref="E57:F58" si="3">E54/D54-1</f>
        <v>0.20967741935483875</v>
      </c>
      <c r="F57" s="162">
        <f t="shared" si="3"/>
        <v>0</v>
      </c>
    </row>
    <row r="58" spans="2:12" ht="15.75" thickBot="1" x14ac:dyDescent="0.3">
      <c r="B58" s="62" t="s">
        <v>25</v>
      </c>
      <c r="C58" s="145" t="s">
        <v>23</v>
      </c>
      <c r="D58" s="162">
        <f>D55/C55-1</f>
        <v>-0.11428571428571432</v>
      </c>
      <c r="E58" s="162">
        <f t="shared" si="3"/>
        <v>0.20967741935483875</v>
      </c>
      <c r="F58" s="162">
        <f t="shared" si="3"/>
        <v>0</v>
      </c>
    </row>
    <row r="59" spans="2:12" ht="15.75" thickBot="1" x14ac:dyDescent="0.3">
      <c r="B59" s="1000" t="s">
        <v>805</v>
      </c>
      <c r="C59" s="1001"/>
      <c r="D59" s="1001"/>
      <c r="E59" s="1001"/>
      <c r="F59" s="1002"/>
    </row>
    <row r="60" spans="2:12" ht="12.75" customHeight="1" x14ac:dyDescent="0.25">
      <c r="B60" s="998"/>
      <c r="C60" s="63">
        <v>2018</v>
      </c>
      <c r="D60" s="63">
        <v>2019</v>
      </c>
      <c r="E60" s="63">
        <v>2020</v>
      </c>
      <c r="F60" s="63">
        <v>2021</v>
      </c>
    </row>
    <row r="61" spans="2:12" ht="9" customHeight="1" thickBot="1" x14ac:dyDescent="0.3">
      <c r="B61" s="999"/>
      <c r="C61" s="64" t="s">
        <v>10</v>
      </c>
      <c r="D61" s="64" t="s">
        <v>11</v>
      </c>
      <c r="E61" s="64" t="s">
        <v>11</v>
      </c>
      <c r="F61" s="64" t="s">
        <v>11</v>
      </c>
    </row>
    <row r="62" spans="2:12" ht="15.75" thickBot="1" x14ac:dyDescent="0.3">
      <c r="B62" s="65" t="s">
        <v>58</v>
      </c>
      <c r="C62" s="164"/>
      <c r="D62" s="164"/>
      <c r="E62" s="164"/>
      <c r="F62" s="164"/>
    </row>
    <row r="63" spans="2:12" ht="15.75" thickBot="1" x14ac:dyDescent="0.3">
      <c r="B63" s="65" t="s">
        <v>59</v>
      </c>
      <c r="C63" s="165">
        <f>C54</f>
        <v>700</v>
      </c>
      <c r="D63" s="165">
        <f t="shared" ref="D63:F63" si="4">D54</f>
        <v>620</v>
      </c>
      <c r="E63" s="243">
        <f t="shared" si="4"/>
        <v>750</v>
      </c>
      <c r="F63" s="243">
        <f t="shared" si="4"/>
        <v>750</v>
      </c>
    </row>
    <row r="64" spans="2:12" ht="15.75" thickBot="1" x14ac:dyDescent="0.3">
      <c r="B64" s="66" t="s">
        <v>367</v>
      </c>
      <c r="C64" s="165">
        <f>C63+C62</f>
        <v>700</v>
      </c>
      <c r="D64" s="165">
        <f t="shared" ref="D64:F64" si="5">D63+D62</f>
        <v>620</v>
      </c>
      <c r="E64" s="165">
        <f t="shared" si="5"/>
        <v>750</v>
      </c>
      <c r="F64" s="165">
        <f t="shared" si="5"/>
        <v>750</v>
      </c>
    </row>
    <row r="65" spans="2:6" ht="15" customHeight="1" x14ac:dyDescent="0.25">
      <c r="B65" s="1015" t="s">
        <v>368</v>
      </c>
      <c r="C65" s="1077" t="s">
        <v>369</v>
      </c>
      <c r="D65" s="1078"/>
      <c r="E65" s="1078"/>
      <c r="F65" s="1079"/>
    </row>
    <row r="66" spans="2:6" x14ac:dyDescent="0.25">
      <c r="B66" s="1016"/>
      <c r="C66" s="1080"/>
      <c r="D66" s="1081"/>
      <c r="E66" s="1081"/>
      <c r="F66" s="1082"/>
    </row>
    <row r="67" spans="2:6" ht="15.75" thickBot="1" x14ac:dyDescent="0.3">
      <c r="B67" s="1017"/>
      <c r="C67" s="1083"/>
      <c r="D67" s="1084"/>
      <c r="E67" s="1084"/>
      <c r="F67" s="1085"/>
    </row>
    <row r="68" spans="2:6" ht="15.75" thickBot="1" x14ac:dyDescent="0.3">
      <c r="B68" s="175"/>
      <c r="C68" s="176"/>
      <c r="D68" s="176"/>
      <c r="E68" s="176"/>
      <c r="F68" s="176"/>
    </row>
    <row r="69" spans="2:6" ht="51.75" customHeight="1" thickBot="1" x14ac:dyDescent="0.3">
      <c r="B69" s="158" t="s">
        <v>82</v>
      </c>
      <c r="C69" s="177">
        <f>C41+C64</f>
        <v>29700</v>
      </c>
      <c r="D69" s="177">
        <f t="shared" ref="D69:F69" si="6">D41+D64</f>
        <v>32770</v>
      </c>
      <c r="E69" s="177">
        <f t="shared" si="6"/>
        <v>34192</v>
      </c>
      <c r="F69" s="177">
        <f t="shared" si="6"/>
        <v>34250</v>
      </c>
    </row>
    <row r="70" spans="2:6" ht="30.75" thickBot="1" x14ac:dyDescent="0.3">
      <c r="B70" s="158" t="s">
        <v>83</v>
      </c>
      <c r="C70" s="177">
        <f>C63+C41</f>
        <v>29700</v>
      </c>
      <c r="D70" s="177">
        <f t="shared" ref="D70:F70" si="7">D63+D41</f>
        <v>32770</v>
      </c>
      <c r="E70" s="177">
        <f t="shared" si="7"/>
        <v>34192</v>
      </c>
      <c r="F70" s="177">
        <f t="shared" si="7"/>
        <v>34250</v>
      </c>
    </row>
    <row r="71" spans="2:6" ht="30.75" thickBot="1" x14ac:dyDescent="0.3">
      <c r="B71" s="178" t="s">
        <v>84</v>
      </c>
      <c r="C71" s="179"/>
      <c r="D71" s="180">
        <f>D70/C70-1</f>
        <v>0.10336700336700333</v>
      </c>
      <c r="E71" s="180">
        <f t="shared" ref="E71:F71" si="8">E70/D70-1</f>
        <v>4.3393347574000707E-2</v>
      </c>
      <c r="F71" s="180">
        <f t="shared" si="8"/>
        <v>1.6963032288255242E-3</v>
      </c>
    </row>
    <row r="72" spans="2:6" ht="15.75" thickBot="1" x14ac:dyDescent="0.3">
      <c r="B72" s="65" t="s">
        <v>26</v>
      </c>
      <c r="C72" s="164">
        <f>C34</f>
        <v>20000</v>
      </c>
      <c r="D72" s="164">
        <f t="shared" ref="D72:F72" si="9">D34</f>
        <v>23000</v>
      </c>
      <c r="E72" s="164">
        <f t="shared" si="9"/>
        <v>24142</v>
      </c>
      <c r="F72" s="164">
        <f t="shared" si="9"/>
        <v>24000</v>
      </c>
    </row>
    <row r="73" spans="2:6" ht="15.75" thickBot="1" x14ac:dyDescent="0.3">
      <c r="B73" s="181" t="s">
        <v>85</v>
      </c>
      <c r="C73" s="165"/>
      <c r="D73" s="182">
        <f>D72/C72-1</f>
        <v>0.14999999999999991</v>
      </c>
      <c r="E73" s="182">
        <f t="shared" ref="E73:F73" si="10">E72/D72-1</f>
        <v>4.9652173913043551E-2</v>
      </c>
      <c r="F73" s="182">
        <f t="shared" si="10"/>
        <v>-5.8818656283654569E-3</v>
      </c>
    </row>
    <row r="74" spans="2:6" ht="30.75" thickBot="1" x14ac:dyDescent="0.3">
      <c r="B74" s="65" t="s">
        <v>28</v>
      </c>
      <c r="C74" s="164">
        <f>C35</f>
        <v>4000</v>
      </c>
      <c r="D74" s="164">
        <f t="shared" ref="D74:F74" si="11">D35</f>
        <v>4000</v>
      </c>
      <c r="E74" s="164">
        <f t="shared" si="11"/>
        <v>4000</v>
      </c>
      <c r="F74" s="164">
        <f t="shared" si="11"/>
        <v>4000</v>
      </c>
    </row>
    <row r="75" spans="2:6" ht="30.75" thickBot="1" x14ac:dyDescent="0.3">
      <c r="B75" s="181" t="s">
        <v>86</v>
      </c>
      <c r="C75" s="165"/>
      <c r="D75" s="182">
        <f>D74/C74-1</f>
        <v>0</v>
      </c>
      <c r="E75" s="182">
        <f t="shared" ref="E75:F75" si="12">E74/D74-1</f>
        <v>0</v>
      </c>
      <c r="F75" s="182">
        <f t="shared" si="12"/>
        <v>0</v>
      </c>
    </row>
    <row r="76" spans="2:6" ht="15.75" thickBot="1" x14ac:dyDescent="0.3">
      <c r="B76" s="65" t="s">
        <v>30</v>
      </c>
      <c r="C76" s="164">
        <f>C36</f>
        <v>5000</v>
      </c>
      <c r="D76" s="164">
        <f t="shared" ref="D76:F76" si="13">D36</f>
        <v>5150</v>
      </c>
      <c r="E76" s="164">
        <f t="shared" si="13"/>
        <v>5300</v>
      </c>
      <c r="F76" s="164">
        <f t="shared" si="13"/>
        <v>5500</v>
      </c>
    </row>
    <row r="77" spans="2:6" ht="15.75" thickBot="1" x14ac:dyDescent="0.3">
      <c r="B77" s="181" t="s">
        <v>87</v>
      </c>
      <c r="C77" s="165"/>
      <c r="D77" s="182">
        <f>D76/C76-1</f>
        <v>3.0000000000000027E-2</v>
      </c>
      <c r="E77" s="182">
        <f t="shared" ref="E77:F77" si="14">E76/D76-1</f>
        <v>2.9126213592232997E-2</v>
      </c>
      <c r="F77" s="182">
        <f t="shared" si="14"/>
        <v>3.7735849056603765E-2</v>
      </c>
    </row>
    <row r="78" spans="2:6" ht="15.75" thickBot="1" x14ac:dyDescent="0.3">
      <c r="B78" s="65" t="s">
        <v>32</v>
      </c>
      <c r="C78" s="164"/>
      <c r="D78" s="164"/>
      <c r="E78" s="164"/>
      <c r="F78" s="164"/>
    </row>
    <row r="79" spans="2:6" ht="15.75" thickBot="1" x14ac:dyDescent="0.3">
      <c r="B79" s="181" t="s">
        <v>88</v>
      </c>
      <c r="C79" s="165"/>
      <c r="D79" s="182"/>
      <c r="E79" s="182"/>
      <c r="F79" s="182"/>
    </row>
    <row r="80" spans="2:6" ht="15.75" thickBot="1" x14ac:dyDescent="0.3">
      <c r="B80" s="65" t="s">
        <v>34</v>
      </c>
      <c r="C80" s="164"/>
      <c r="D80" s="164"/>
      <c r="E80" s="164"/>
      <c r="F80" s="164"/>
    </row>
    <row r="81" spans="2:6" ht="15.75" thickBot="1" x14ac:dyDescent="0.3">
      <c r="B81" s="181" t="s">
        <v>89</v>
      </c>
      <c r="C81" s="165"/>
      <c r="D81" s="182"/>
      <c r="E81" s="182"/>
      <c r="F81" s="182"/>
    </row>
    <row r="82" spans="2:6" ht="15.75" thickBot="1" x14ac:dyDescent="0.3">
      <c r="B82" s="65" t="s">
        <v>36</v>
      </c>
      <c r="C82" s="164"/>
      <c r="D82" s="164"/>
      <c r="E82" s="164"/>
      <c r="F82" s="164"/>
    </row>
    <row r="83" spans="2:6" ht="15.75" thickBot="1" x14ac:dyDescent="0.3">
      <c r="B83" s="181" t="s">
        <v>90</v>
      </c>
      <c r="C83" s="165"/>
      <c r="D83" s="182"/>
      <c r="E83" s="182"/>
      <c r="F83" s="182"/>
    </row>
    <row r="84" spans="2:6" ht="15.75" thickBot="1" x14ac:dyDescent="0.3">
      <c r="B84" s="65" t="s">
        <v>38</v>
      </c>
      <c r="C84" s="164"/>
      <c r="D84" s="164"/>
      <c r="E84" s="164"/>
      <c r="F84" s="164"/>
    </row>
    <row r="85" spans="2:6" ht="30.75" thickBot="1" x14ac:dyDescent="0.3">
      <c r="B85" s="181" t="s">
        <v>91</v>
      </c>
      <c r="C85" s="165"/>
      <c r="D85" s="182"/>
      <c r="E85" s="182"/>
      <c r="F85" s="182"/>
    </row>
    <row r="86" spans="2:6" ht="15.75" thickBot="1" x14ac:dyDescent="0.3">
      <c r="B86" s="65" t="s">
        <v>92</v>
      </c>
      <c r="C86" s="164">
        <f>C62</f>
        <v>0</v>
      </c>
      <c r="D86" s="164">
        <f t="shared" ref="D86:F86" si="15">D62</f>
        <v>0</v>
      </c>
      <c r="E86" s="164">
        <f t="shared" si="15"/>
        <v>0</v>
      </c>
      <c r="F86" s="164">
        <f t="shared" si="15"/>
        <v>0</v>
      </c>
    </row>
    <row r="87" spans="2:6" ht="15.75" thickBot="1" x14ac:dyDescent="0.3">
      <c r="B87" s="181" t="s">
        <v>93</v>
      </c>
      <c r="C87" s="165"/>
      <c r="D87" s="182"/>
      <c r="E87" s="182"/>
      <c r="F87" s="182"/>
    </row>
    <row r="88" spans="2:6" ht="15.75" thickBot="1" x14ac:dyDescent="0.3">
      <c r="B88" s="65" t="s">
        <v>94</v>
      </c>
      <c r="C88" s="164">
        <f>C63</f>
        <v>700</v>
      </c>
      <c r="D88" s="164">
        <f t="shared" ref="D88:F88" si="16">D63</f>
        <v>620</v>
      </c>
      <c r="E88" s="164">
        <f t="shared" si="16"/>
        <v>750</v>
      </c>
      <c r="F88" s="164">
        <f t="shared" si="16"/>
        <v>750</v>
      </c>
    </row>
    <row r="89" spans="2:6" ht="15.75" thickBot="1" x14ac:dyDescent="0.3">
      <c r="B89" s="181" t="s">
        <v>95</v>
      </c>
      <c r="C89" s="165"/>
      <c r="D89" s="182">
        <f>D88/C88-1</f>
        <v>-0.11428571428571432</v>
      </c>
      <c r="E89" s="182">
        <f t="shared" ref="E89:F89" si="17">E88/D88-1</f>
        <v>0.20967741935483875</v>
      </c>
      <c r="F89" s="182">
        <f t="shared" si="17"/>
        <v>0</v>
      </c>
    </row>
    <row r="90" spans="2:6" ht="15.75" thickBot="1" x14ac:dyDescent="0.3">
      <c r="B90" s="166" t="s">
        <v>41</v>
      </c>
      <c r="C90" s="167">
        <f>IF(C70-C69=0,0,"Error")</f>
        <v>0</v>
      </c>
      <c r="D90" s="167">
        <f t="shared" ref="D90:F90" si="18">IF(D70-D69=0,0,"Error")</f>
        <v>0</v>
      </c>
      <c r="E90" s="167">
        <f t="shared" si="18"/>
        <v>0</v>
      </c>
      <c r="F90" s="167">
        <f t="shared" si="18"/>
        <v>0</v>
      </c>
    </row>
    <row r="91" spans="2:6" ht="30.75" thickBot="1" x14ac:dyDescent="0.3">
      <c r="B91" s="183" t="s">
        <v>96</v>
      </c>
      <c r="C91" s="164">
        <v>21</v>
      </c>
      <c r="D91" s="164">
        <v>21</v>
      </c>
      <c r="E91" s="164">
        <v>21</v>
      </c>
      <c r="F91" s="164">
        <v>21</v>
      </c>
    </row>
    <row r="92" spans="2:6" ht="30.75" thickBot="1" x14ac:dyDescent="0.3">
      <c r="B92" s="183" t="s">
        <v>97</v>
      </c>
      <c r="C92" s="164">
        <v>0</v>
      </c>
      <c r="D92" s="164">
        <v>0</v>
      </c>
      <c r="E92" s="164">
        <v>0</v>
      </c>
      <c r="F92" s="164">
        <v>0</v>
      </c>
    </row>
    <row r="93" spans="2:6" x14ac:dyDescent="0.25">
      <c r="B93" s="184"/>
      <c r="D93" s="185"/>
      <c r="E93" s="185"/>
      <c r="F93" s="185"/>
    </row>
    <row r="94" spans="2:6" x14ac:dyDescent="0.25">
      <c r="B94" s="189"/>
      <c r="C94" s="190"/>
      <c r="D94" s="191"/>
      <c r="E94" s="189"/>
    </row>
    <row r="95" spans="2:6" hidden="1" x14ac:dyDescent="0.25">
      <c r="B95" s="206" t="s">
        <v>98</v>
      </c>
      <c r="C95" s="190"/>
      <c r="D95" s="191"/>
      <c r="E95" s="189"/>
      <c r="F95" s="189"/>
    </row>
    <row r="96" spans="2:6" ht="39.75" hidden="1" customHeight="1" x14ac:dyDescent="0.25">
      <c r="B96" s="870" t="s">
        <v>108</v>
      </c>
      <c r="C96" s="871"/>
      <c r="D96" s="871"/>
      <c r="E96" s="871"/>
      <c r="F96" s="872"/>
    </row>
    <row r="97" spans="2:7" ht="40.5" hidden="1" customHeight="1" x14ac:dyDescent="0.25">
      <c r="B97" s="873" t="s">
        <v>109</v>
      </c>
      <c r="C97" s="874"/>
      <c r="D97" s="874"/>
      <c r="E97" s="874"/>
      <c r="F97" s="875"/>
    </row>
    <row r="98" spans="2:7" ht="28.5" hidden="1" customHeight="1" x14ac:dyDescent="0.25">
      <c r="B98" s="876" t="s">
        <v>110</v>
      </c>
      <c r="C98" s="877"/>
      <c r="D98" s="877"/>
      <c r="E98" s="877"/>
      <c r="F98" s="878"/>
      <c r="G98" s="207"/>
    </row>
    <row r="99" spans="2:7" ht="18" hidden="1" customHeight="1" x14ac:dyDescent="0.25">
      <c r="B99" s="876" t="s">
        <v>99</v>
      </c>
      <c r="C99" s="877"/>
      <c r="D99" s="877"/>
      <c r="E99" s="877"/>
      <c r="F99" s="878"/>
      <c r="G99" s="207"/>
    </row>
    <row r="100" spans="2:7" ht="36" hidden="1" customHeight="1" x14ac:dyDescent="0.25">
      <c r="B100" s="876" t="s">
        <v>100</v>
      </c>
      <c r="C100" s="877"/>
      <c r="D100" s="877"/>
      <c r="E100" s="877"/>
      <c r="F100" s="878"/>
      <c r="G100" s="208"/>
    </row>
    <row r="101" spans="2:7" ht="27" hidden="1" customHeight="1" x14ac:dyDescent="0.25">
      <c r="B101" s="879" t="s">
        <v>795</v>
      </c>
      <c r="C101" s="880"/>
      <c r="D101" s="880"/>
      <c r="E101" s="880"/>
      <c r="F101" s="881"/>
    </row>
    <row r="102" spans="2:7" ht="47.25" hidden="1" customHeight="1" thickBot="1" x14ac:dyDescent="0.3">
      <c r="B102" s="867" t="s">
        <v>101</v>
      </c>
      <c r="C102" s="868"/>
      <c r="D102" s="868"/>
      <c r="E102" s="868"/>
      <c r="F102" s="869"/>
    </row>
    <row r="103" spans="2:7" hidden="1" x14ac:dyDescent="0.25"/>
    <row r="104" spans="2:7" ht="15.75" thickBot="1" x14ac:dyDescent="0.3"/>
    <row r="105" spans="2:7" ht="15.75" thickBot="1" x14ac:dyDescent="0.3">
      <c r="B105" s="153" t="s">
        <v>2</v>
      </c>
      <c r="C105" s="979" t="s">
        <v>354</v>
      </c>
      <c r="D105" s="979"/>
      <c r="E105" s="979"/>
      <c r="F105" s="979"/>
    </row>
    <row r="106" spans="2:7" ht="15.75" thickBot="1" x14ac:dyDescent="0.3">
      <c r="B106" s="153" t="s">
        <v>3</v>
      </c>
      <c r="C106" s="1048" t="s">
        <v>370</v>
      </c>
      <c r="D106" s="981"/>
      <c r="E106" s="981"/>
      <c r="F106" s="982"/>
    </row>
    <row r="107" spans="2:7" ht="15.75" thickBot="1" x14ac:dyDescent="0.3">
      <c r="B107" s="153" t="s">
        <v>5</v>
      </c>
      <c r="C107" s="983" t="s">
        <v>6</v>
      </c>
      <c r="D107" s="984"/>
      <c r="E107" s="984"/>
      <c r="F107" s="985"/>
    </row>
    <row r="108" spans="2:7" ht="15.75" thickBot="1" x14ac:dyDescent="0.3">
      <c r="B108" s="986" t="s">
        <v>7</v>
      </c>
      <c r="C108" s="987"/>
      <c r="D108" s="987"/>
      <c r="E108" s="987"/>
      <c r="F108" s="988"/>
    </row>
    <row r="109" spans="2:7" x14ac:dyDescent="0.25">
      <c r="B109" s="1104" t="s">
        <v>355</v>
      </c>
      <c r="C109" s="1105"/>
      <c r="D109" s="1105"/>
      <c r="E109" s="1105"/>
      <c r="F109" s="1106"/>
    </row>
    <row r="110" spans="2:7" x14ac:dyDescent="0.25">
      <c r="B110" s="1107"/>
      <c r="C110" s="1108"/>
      <c r="D110" s="1108"/>
      <c r="E110" s="1108"/>
      <c r="F110" s="1109"/>
    </row>
    <row r="111" spans="2:7" ht="15.75" thickBot="1" x14ac:dyDescent="0.3">
      <c r="B111" s="1110"/>
      <c r="C111" s="1111"/>
      <c r="D111" s="1111"/>
      <c r="E111" s="1111"/>
      <c r="F111" s="1112"/>
    </row>
    <row r="112" spans="2:7" ht="45.75" customHeight="1" thickBot="1" x14ac:dyDescent="0.3">
      <c r="B112" s="154" t="s">
        <v>8</v>
      </c>
      <c r="C112" s="1007" t="s">
        <v>371</v>
      </c>
      <c r="D112" s="1006"/>
      <c r="E112" s="1006"/>
      <c r="F112" s="1008"/>
    </row>
    <row r="113" spans="2:6" x14ac:dyDescent="0.25">
      <c r="B113" s="998" t="s">
        <v>102</v>
      </c>
      <c r="C113" s="155">
        <v>2018</v>
      </c>
      <c r="D113" s="155">
        <v>2019</v>
      </c>
      <c r="E113" s="155">
        <v>2020</v>
      </c>
      <c r="F113" s="155">
        <v>2021</v>
      </c>
    </row>
    <row r="114" spans="2:6" ht="15.75" thickBot="1" x14ac:dyDescent="0.3">
      <c r="B114" s="999"/>
      <c r="C114" s="156" t="s">
        <v>10</v>
      </c>
      <c r="D114" s="156" t="s">
        <v>11</v>
      </c>
      <c r="E114" s="156" t="s">
        <v>11</v>
      </c>
      <c r="F114" s="156" t="s">
        <v>11</v>
      </c>
    </row>
    <row r="115" spans="2:6" ht="45.75" thickBot="1" x14ac:dyDescent="0.3">
      <c r="B115" s="62" t="s">
        <v>372</v>
      </c>
      <c r="C115" s="237">
        <v>0.98</v>
      </c>
      <c r="D115" s="237">
        <v>0.98</v>
      </c>
      <c r="E115" s="237">
        <v>0.99</v>
      </c>
      <c r="F115" s="237">
        <v>0.99</v>
      </c>
    </row>
    <row r="116" spans="2:6" ht="48.75" customHeight="1" thickBot="1" x14ac:dyDescent="0.3">
      <c r="B116" s="158" t="s">
        <v>12</v>
      </c>
      <c r="C116" s="1007" t="s">
        <v>373</v>
      </c>
      <c r="D116" s="1006"/>
      <c r="E116" s="1006"/>
      <c r="F116" s="1008"/>
    </row>
    <row r="117" spans="2:6" ht="15.75" thickBot="1" x14ac:dyDescent="0.3">
      <c r="B117" s="983" t="s">
        <v>803</v>
      </c>
      <c r="C117" s="984"/>
      <c r="D117" s="984"/>
      <c r="E117" s="984"/>
      <c r="F117" s="985"/>
    </row>
    <row r="118" spans="2:6" ht="45.75" thickBot="1" x14ac:dyDescent="0.3">
      <c r="B118" s="62" t="s">
        <v>374</v>
      </c>
      <c r="C118" s="237">
        <v>0.57999999999999996</v>
      </c>
      <c r="D118" s="237">
        <v>0.57999999999999996</v>
      </c>
      <c r="E118" s="237">
        <v>0.57999999999999996</v>
      </c>
      <c r="F118" s="244">
        <f>63%-5%</f>
        <v>0.57999999999999996</v>
      </c>
    </row>
    <row r="119" spans="2:6" ht="30.75" thickBot="1" x14ac:dyDescent="0.3">
      <c r="B119" s="62" t="s">
        <v>375</v>
      </c>
      <c r="C119" s="237">
        <v>0.74</v>
      </c>
      <c r="D119" s="237">
        <v>0.81</v>
      </c>
      <c r="E119" s="237">
        <v>0.81</v>
      </c>
      <c r="F119" s="237">
        <v>0.85</v>
      </c>
    </row>
    <row r="120" spans="2:6" ht="30.75" thickBot="1" x14ac:dyDescent="0.3">
      <c r="B120" s="62" t="s">
        <v>115</v>
      </c>
      <c r="C120" s="157" t="s">
        <v>116</v>
      </c>
      <c r="D120" s="157" t="s">
        <v>117</v>
      </c>
      <c r="E120" s="157" t="s">
        <v>117</v>
      </c>
      <c r="F120" s="157" t="s">
        <v>117</v>
      </c>
    </row>
    <row r="121" spans="2:6" ht="15.75" thickBot="1" x14ac:dyDescent="0.3">
      <c r="B121" s="989" t="s">
        <v>14</v>
      </c>
      <c r="C121" s="990"/>
      <c r="D121" s="990"/>
      <c r="E121" s="990"/>
      <c r="F121" s="991"/>
    </row>
    <row r="122" spans="2:6" ht="15.75" thickBot="1" x14ac:dyDescent="0.3">
      <c r="B122" s="989" t="s">
        <v>104</v>
      </c>
      <c r="C122" s="990"/>
      <c r="D122" s="990"/>
      <c r="E122" s="990"/>
      <c r="F122" s="991"/>
    </row>
    <row r="123" spans="2:6" ht="15.75" thickBot="1" x14ac:dyDescent="0.3">
      <c r="B123" s="160" t="s">
        <v>163</v>
      </c>
      <c r="C123" s="1098" t="s">
        <v>376</v>
      </c>
      <c r="D123" s="1099"/>
      <c r="E123" s="1099"/>
      <c r="F123" s="1100"/>
    </row>
    <row r="124" spans="2:6" ht="15.75" thickBot="1" x14ac:dyDescent="0.3">
      <c r="B124" s="62" t="s">
        <v>17</v>
      </c>
      <c r="C124" s="983" t="s">
        <v>377</v>
      </c>
      <c r="D124" s="984"/>
      <c r="E124" s="984"/>
      <c r="F124" s="985"/>
    </row>
    <row r="125" spans="2:6" ht="15.75" thickBot="1" x14ac:dyDescent="0.3">
      <c r="B125" s="62" t="s">
        <v>18</v>
      </c>
      <c r="C125" s="1101" t="s">
        <v>378</v>
      </c>
      <c r="D125" s="1102"/>
      <c r="E125" s="1102"/>
      <c r="F125" s="1103"/>
    </row>
    <row r="126" spans="2:6" x14ac:dyDescent="0.25">
      <c r="B126" s="998"/>
      <c r="C126" s="63">
        <v>2018</v>
      </c>
      <c r="D126" s="63">
        <v>2019</v>
      </c>
      <c r="E126" s="63">
        <v>2020</v>
      </c>
      <c r="F126" s="63">
        <v>2021</v>
      </c>
    </row>
    <row r="127" spans="2:6" ht="15.75" thickBot="1" x14ac:dyDescent="0.3">
      <c r="B127" s="999"/>
      <c r="C127" s="64" t="s">
        <v>10</v>
      </c>
      <c r="D127" s="64" t="s">
        <v>11</v>
      </c>
      <c r="E127" s="64" t="s">
        <v>11</v>
      </c>
      <c r="F127" s="64" t="s">
        <v>11</v>
      </c>
    </row>
    <row r="128" spans="2:6" ht="15.75" thickBot="1" x14ac:dyDescent="0.3">
      <c r="B128" s="62" t="s">
        <v>19</v>
      </c>
      <c r="C128" s="245">
        <v>162000</v>
      </c>
      <c r="D128" s="245">
        <f>D129/D130</f>
        <v>11515.350517156461</v>
      </c>
      <c r="E128" s="245">
        <f t="shared" ref="E128:F128" si="19">E129/E130</f>
        <v>12383.414602218805</v>
      </c>
      <c r="F128" s="245">
        <f t="shared" si="19"/>
        <v>12743.769343541295</v>
      </c>
    </row>
    <row r="129" spans="2:6" ht="15.75" thickBot="1" x14ac:dyDescent="0.3">
      <c r="B129" s="62" t="s">
        <v>20</v>
      </c>
      <c r="C129" s="161">
        <f>C144</f>
        <v>2690</v>
      </c>
      <c r="D129" s="161">
        <f>D144</f>
        <v>210000</v>
      </c>
      <c r="E129" s="161">
        <f t="shared" ref="E129:F129" si="20">E144</f>
        <v>220000</v>
      </c>
      <c r="F129" s="161">
        <f t="shared" si="20"/>
        <v>221000</v>
      </c>
    </row>
    <row r="130" spans="2:6" ht="15.75" thickBot="1" x14ac:dyDescent="0.3">
      <c r="B130" s="62" t="s">
        <v>21</v>
      </c>
      <c r="C130" s="240">
        <f>C129/C128</f>
        <v>1.660493827160494E-2</v>
      </c>
      <c r="D130" s="203">
        <v>18.236526946107784</v>
      </c>
      <c r="E130" s="203">
        <v>17.765697674418604</v>
      </c>
      <c r="F130" s="203">
        <v>17.341807909604519</v>
      </c>
    </row>
    <row r="131" spans="2:6" ht="15.75" thickBot="1" x14ac:dyDescent="0.3">
      <c r="B131" s="62" t="s">
        <v>22</v>
      </c>
      <c r="C131" s="145" t="s">
        <v>23</v>
      </c>
      <c r="D131" s="162">
        <f>D128/C128-1</f>
        <v>-0.92891758940026881</v>
      </c>
      <c r="E131" s="162">
        <f t="shared" ref="E131:F133" si="21">E128/D128-1</f>
        <v>7.5383209896132453E-2</v>
      </c>
      <c r="F131" s="162">
        <f t="shared" si="21"/>
        <v>2.9099788135812155E-2</v>
      </c>
    </row>
    <row r="132" spans="2:6" ht="15.75" thickBot="1" x14ac:dyDescent="0.3">
      <c r="B132" s="62" t="s">
        <v>24</v>
      </c>
      <c r="C132" s="145" t="s">
        <v>23</v>
      </c>
      <c r="D132" s="162">
        <f>D129/C129-1</f>
        <v>77.066914498141259</v>
      </c>
      <c r="E132" s="162">
        <f t="shared" si="21"/>
        <v>4.7619047619047672E-2</v>
      </c>
      <c r="F132" s="162">
        <f t="shared" si="21"/>
        <v>4.5454545454546302E-3</v>
      </c>
    </row>
    <row r="133" spans="2:6" ht="15.75" thickBot="1" x14ac:dyDescent="0.3">
      <c r="B133" s="62" t="s">
        <v>25</v>
      </c>
      <c r="C133" s="145" t="s">
        <v>23</v>
      </c>
      <c r="D133" s="162">
        <f>D130/C130-1</f>
        <v>1097.2592435945951</v>
      </c>
      <c r="E133" s="162">
        <f t="shared" si="21"/>
        <v>-2.5817924272563797E-2</v>
      </c>
      <c r="F133" s="162">
        <f t="shared" si="21"/>
        <v>-2.3860012287862831E-2</v>
      </c>
    </row>
    <row r="134" spans="2:6" ht="15.75" thickBot="1" x14ac:dyDescent="0.3">
      <c r="B134" s="1000" t="s">
        <v>804</v>
      </c>
      <c r="C134" s="1001"/>
      <c r="D134" s="1001"/>
      <c r="E134" s="1001"/>
      <c r="F134" s="1002"/>
    </row>
    <row r="135" spans="2:6" x14ac:dyDescent="0.25">
      <c r="B135" s="998"/>
      <c r="C135" s="63">
        <v>2018</v>
      </c>
      <c r="D135" s="63">
        <v>2019</v>
      </c>
      <c r="E135" s="63">
        <v>2020</v>
      </c>
      <c r="F135" s="63">
        <v>2021</v>
      </c>
    </row>
    <row r="136" spans="2:6" ht="15.75" thickBot="1" x14ac:dyDescent="0.3">
      <c r="B136" s="999"/>
      <c r="C136" s="64" t="s">
        <v>10</v>
      </c>
      <c r="D136" s="64" t="s">
        <v>11</v>
      </c>
      <c r="E136" s="64" t="s">
        <v>11</v>
      </c>
      <c r="F136" s="64" t="s">
        <v>11</v>
      </c>
    </row>
    <row r="137" spans="2:6" ht="15.75" thickBot="1" x14ac:dyDescent="0.3">
      <c r="B137" s="65" t="s">
        <v>26</v>
      </c>
      <c r="C137" s="164">
        <f>'[3]Formati 2 Politika Ekzistuese'!F143</f>
        <v>2690</v>
      </c>
      <c r="D137" s="164">
        <f>210000-D138-D139</f>
        <v>184260</v>
      </c>
      <c r="E137" s="164">
        <f>220000-E138-E139</f>
        <v>184060</v>
      </c>
      <c r="F137" s="164">
        <f>221000-F138-F139</f>
        <v>183710</v>
      </c>
    </row>
    <row r="138" spans="2:6" ht="30.75" thickBot="1" x14ac:dyDescent="0.3">
      <c r="B138" s="65" t="s">
        <v>28</v>
      </c>
      <c r="C138" s="164">
        <f>'[3]Formati 2 Politika Ekzistuese'!F146</f>
        <v>0</v>
      </c>
      <c r="D138" s="164">
        <v>240</v>
      </c>
      <c r="E138" s="164">
        <v>240</v>
      </c>
      <c r="F138" s="164">
        <v>240</v>
      </c>
    </row>
    <row r="139" spans="2:6" ht="15.75" thickBot="1" x14ac:dyDescent="0.3">
      <c r="B139" s="65" t="s">
        <v>30</v>
      </c>
      <c r="C139" s="165">
        <f>'[3]Formati 2 Politika Ekzistuese'!F149</f>
        <v>0</v>
      </c>
      <c r="D139" s="165">
        <f>C139+5200+2900+1300+3200+12900</f>
        <v>25500</v>
      </c>
      <c r="E139" s="165">
        <f>D139-2900+13100</f>
        <v>35700</v>
      </c>
      <c r="F139" s="165">
        <f>E139*1.03+279</f>
        <v>37050</v>
      </c>
    </row>
    <row r="140" spans="2:6" ht="15.75" thickBot="1" x14ac:dyDescent="0.3">
      <c r="B140" s="65" t="s">
        <v>32</v>
      </c>
      <c r="C140" s="165"/>
      <c r="D140" s="164"/>
      <c r="E140" s="164"/>
      <c r="F140" s="164"/>
    </row>
    <row r="141" spans="2:6" ht="15.75" thickBot="1" x14ac:dyDescent="0.3">
      <c r="B141" s="65" t="s">
        <v>34</v>
      </c>
      <c r="C141" s="165"/>
      <c r="D141" s="164"/>
      <c r="E141" s="164"/>
      <c r="F141" s="164"/>
    </row>
    <row r="142" spans="2:6" ht="15.75" thickBot="1" x14ac:dyDescent="0.3">
      <c r="B142" s="65" t="s">
        <v>36</v>
      </c>
      <c r="C142" s="165"/>
      <c r="D142" s="164"/>
      <c r="E142" s="164"/>
      <c r="F142" s="164"/>
    </row>
    <row r="143" spans="2:6" ht="15.75" thickBot="1" x14ac:dyDescent="0.3">
      <c r="B143" s="65" t="s">
        <v>38</v>
      </c>
      <c r="C143" s="165"/>
      <c r="D143" s="164"/>
      <c r="E143" s="164"/>
      <c r="F143" s="164"/>
    </row>
    <row r="144" spans="2:6" ht="15.75" thickBot="1" x14ac:dyDescent="0.3">
      <c r="B144" s="66" t="s">
        <v>133</v>
      </c>
      <c r="C144" s="241">
        <f>C143+C142+C141+C140+C139+C138+C137</f>
        <v>2690</v>
      </c>
      <c r="D144" s="241">
        <f>D143+D142+D141+D140+D139+D138+D137</f>
        <v>210000</v>
      </c>
      <c r="E144" s="241">
        <f>E143+E142+E141+E140+E139+E138+E137</f>
        <v>220000</v>
      </c>
      <c r="F144" s="241">
        <f>F143+F142+F141+F140+F139+F138+F137</f>
        <v>221000</v>
      </c>
    </row>
    <row r="145" spans="2:6" ht="15.75" thickBot="1" x14ac:dyDescent="0.3">
      <c r="B145" s="166" t="s">
        <v>41</v>
      </c>
      <c r="C145" s="167">
        <f>IF(C144-C129=0,0,"Error")</f>
        <v>0</v>
      </c>
      <c r="D145" s="167">
        <f>IF(D144-D129=0,0,"Error")</f>
        <v>0</v>
      </c>
      <c r="E145" s="167">
        <f>IF(E144-E129=0,0,"Error")</f>
        <v>0</v>
      </c>
      <c r="F145" s="167">
        <f>IF(F144-F129=0,0,"Error")</f>
        <v>0</v>
      </c>
    </row>
    <row r="146" spans="2:6" ht="15.75" thickBot="1" x14ac:dyDescent="0.3">
      <c r="B146" s="989" t="s">
        <v>63</v>
      </c>
      <c r="C146" s="990"/>
      <c r="D146" s="990"/>
      <c r="E146" s="990"/>
      <c r="F146" s="991"/>
    </row>
    <row r="147" spans="2:6" ht="15.75" thickBot="1" x14ac:dyDescent="0.3">
      <c r="B147" s="989" t="s">
        <v>56</v>
      </c>
      <c r="C147" s="990"/>
      <c r="D147" s="990"/>
      <c r="E147" s="990"/>
      <c r="F147" s="991"/>
    </row>
    <row r="148" spans="2:6" ht="15.75" thickBot="1" x14ac:dyDescent="0.3">
      <c r="B148" s="62" t="s">
        <v>379</v>
      </c>
      <c r="C148" s="983" t="s">
        <v>380</v>
      </c>
      <c r="D148" s="984"/>
      <c r="E148" s="984"/>
      <c r="F148" s="985"/>
    </row>
    <row r="149" spans="2:6" ht="15.75" thickBot="1" x14ac:dyDescent="0.3">
      <c r="B149" s="246" t="s">
        <v>141</v>
      </c>
      <c r="C149" s="1095" t="s">
        <v>381</v>
      </c>
      <c r="D149" s="1096"/>
      <c r="E149" s="1096"/>
      <c r="F149" s="1097"/>
    </row>
    <row r="150" spans="2:6" ht="15.75" thickBot="1" x14ac:dyDescent="0.3">
      <c r="B150" s="62" t="s">
        <v>17</v>
      </c>
      <c r="C150" s="983" t="s">
        <v>382</v>
      </c>
      <c r="D150" s="984"/>
      <c r="E150" s="984"/>
      <c r="F150" s="985"/>
    </row>
    <row r="151" spans="2:6" ht="15.75" thickBot="1" x14ac:dyDescent="0.3">
      <c r="B151" s="62" t="s">
        <v>18</v>
      </c>
      <c r="C151" s="995" t="s">
        <v>383</v>
      </c>
      <c r="D151" s="996"/>
      <c r="E151" s="996"/>
      <c r="F151" s="997"/>
    </row>
    <row r="152" spans="2:6" x14ac:dyDescent="0.25">
      <c r="B152" s="998"/>
      <c r="C152" s="63">
        <v>2018</v>
      </c>
      <c r="D152" s="63">
        <v>2019</v>
      </c>
      <c r="E152" s="63">
        <v>2020</v>
      </c>
      <c r="F152" s="63">
        <v>2021</v>
      </c>
    </row>
    <row r="153" spans="2:6" ht="15.75" thickBot="1" x14ac:dyDescent="0.3">
      <c r="B153" s="999"/>
      <c r="C153" s="64" t="s">
        <v>10</v>
      </c>
      <c r="D153" s="64" t="s">
        <v>11</v>
      </c>
      <c r="E153" s="64" t="s">
        <v>11</v>
      </c>
      <c r="F153" s="64" t="s">
        <v>11</v>
      </c>
    </row>
    <row r="154" spans="2:6" ht="15.75" thickBot="1" x14ac:dyDescent="0.3">
      <c r="B154" s="62" t="s">
        <v>19</v>
      </c>
      <c r="C154" s="161" t="str">
        <f>'[3]Formati 2 Politika Ekzistuese'!F174</f>
        <v>Parashikimi</v>
      </c>
      <c r="D154" s="161" t="str">
        <f>'[3]Formati 2 Politika Ekzistuese'!G174</f>
        <v>Parashikimi</v>
      </c>
      <c r="E154" s="161">
        <f>'[3]Formati 2 Politika Ekzistuese'!H174</f>
        <v>0</v>
      </c>
      <c r="F154" s="161">
        <f>'[3]Formati 2 Politika Ekzistuese'!I174</f>
        <v>0</v>
      </c>
    </row>
    <row r="155" spans="2:6" ht="15.75" thickBot="1" x14ac:dyDescent="0.3">
      <c r="B155" s="62" t="s">
        <v>20</v>
      </c>
      <c r="C155" s="161">
        <f>'[3]Formati 2 Politika Ekzistuese'!F175</f>
        <v>0</v>
      </c>
      <c r="D155" s="161">
        <f>'[3]Formati 2 Politika Ekzistuese'!G175</f>
        <v>0</v>
      </c>
      <c r="E155" s="161">
        <f>'[3]Formati 2 Politika Ekzistuese'!H175</f>
        <v>0</v>
      </c>
      <c r="F155" s="161">
        <f>'[3]Formati 2 Politika Ekzistuese'!I175</f>
        <v>0</v>
      </c>
    </row>
    <row r="156" spans="2:6" ht="15.75" thickBot="1" x14ac:dyDescent="0.3">
      <c r="B156" s="62" t="s">
        <v>21</v>
      </c>
      <c r="C156" s="161" t="e">
        <f>C155/C154</f>
        <v>#VALUE!</v>
      </c>
      <c r="D156" s="161" t="e">
        <f t="shared" ref="D156:F156" si="22">D155/D154</f>
        <v>#VALUE!</v>
      </c>
      <c r="E156" s="161" t="e">
        <f t="shared" si="22"/>
        <v>#DIV/0!</v>
      </c>
      <c r="F156" s="161" t="e">
        <f t="shared" si="22"/>
        <v>#DIV/0!</v>
      </c>
    </row>
    <row r="157" spans="2:6" ht="15.75" thickBot="1" x14ac:dyDescent="0.3">
      <c r="B157" s="62" t="s">
        <v>22</v>
      </c>
      <c r="C157" s="145" t="s">
        <v>23</v>
      </c>
      <c r="D157" s="162"/>
      <c r="E157" s="162"/>
      <c r="F157" s="162"/>
    </row>
    <row r="158" spans="2:6" ht="15.75" thickBot="1" x14ac:dyDescent="0.3">
      <c r="B158" s="62" t="s">
        <v>24</v>
      </c>
      <c r="C158" s="145" t="s">
        <v>23</v>
      </c>
      <c r="D158" s="162" t="e">
        <f>D155/C155-1</f>
        <v>#DIV/0!</v>
      </c>
      <c r="E158" s="162" t="e">
        <f t="shared" ref="E158:F159" si="23">E155/D155-1</f>
        <v>#DIV/0!</v>
      </c>
      <c r="F158" s="162" t="e">
        <f t="shared" si="23"/>
        <v>#DIV/0!</v>
      </c>
    </row>
    <row r="159" spans="2:6" ht="15.75" thickBot="1" x14ac:dyDescent="0.3">
      <c r="B159" s="62" t="s">
        <v>25</v>
      </c>
      <c r="C159" s="145" t="s">
        <v>23</v>
      </c>
      <c r="D159" s="162" t="e">
        <f>D156/C156-1</f>
        <v>#VALUE!</v>
      </c>
      <c r="E159" s="162" t="e">
        <f t="shared" si="23"/>
        <v>#DIV/0!</v>
      </c>
      <c r="F159" s="162" t="e">
        <f t="shared" si="23"/>
        <v>#DIV/0!</v>
      </c>
    </row>
    <row r="160" spans="2:6" ht="15.75" thickBot="1" x14ac:dyDescent="0.3">
      <c r="B160" s="1000" t="s">
        <v>806</v>
      </c>
      <c r="C160" s="1001"/>
      <c r="D160" s="1001"/>
      <c r="E160" s="1001"/>
      <c r="F160" s="1002"/>
    </row>
    <row r="161" spans="2:6" x14ac:dyDescent="0.25">
      <c r="B161" s="998"/>
      <c r="C161" s="63">
        <v>2018</v>
      </c>
      <c r="D161" s="63">
        <v>2019</v>
      </c>
      <c r="E161" s="63">
        <v>2020</v>
      </c>
      <c r="F161" s="63">
        <v>2021</v>
      </c>
    </row>
    <row r="162" spans="2:6" ht="15.75" thickBot="1" x14ac:dyDescent="0.3">
      <c r="B162" s="999"/>
      <c r="C162" s="64" t="s">
        <v>10</v>
      </c>
      <c r="D162" s="64" t="s">
        <v>11</v>
      </c>
      <c r="E162" s="64" t="s">
        <v>11</v>
      </c>
      <c r="F162" s="64" t="s">
        <v>11</v>
      </c>
    </row>
    <row r="163" spans="2:6" ht="15.75" thickBot="1" x14ac:dyDescent="0.3">
      <c r="B163" s="65" t="s">
        <v>58</v>
      </c>
      <c r="C163" s="164"/>
      <c r="D163" s="164"/>
      <c r="E163" s="164"/>
      <c r="F163" s="164"/>
    </row>
    <row r="164" spans="2:6" ht="15.75" thickBot="1" x14ac:dyDescent="0.3">
      <c r="B164" s="65" t="s">
        <v>59</v>
      </c>
      <c r="C164" s="165">
        <f>C155</f>
        <v>0</v>
      </c>
      <c r="D164" s="165">
        <f t="shared" ref="D164:F164" si="24">D155</f>
        <v>0</v>
      </c>
      <c r="E164" s="165">
        <f t="shared" si="24"/>
        <v>0</v>
      </c>
      <c r="F164" s="165">
        <f t="shared" si="24"/>
        <v>0</v>
      </c>
    </row>
    <row r="165" spans="2:6" ht="15.75" thickBot="1" x14ac:dyDescent="0.3">
      <c r="B165" s="66" t="s">
        <v>142</v>
      </c>
      <c r="C165" s="165">
        <f>C164+C163</f>
        <v>0</v>
      </c>
      <c r="D165" s="165">
        <f t="shared" ref="D165:F165" si="25">D164+D163</f>
        <v>0</v>
      </c>
      <c r="E165" s="165">
        <f t="shared" si="25"/>
        <v>0</v>
      </c>
      <c r="F165" s="165">
        <f t="shared" si="25"/>
        <v>0</v>
      </c>
    </row>
    <row r="166" spans="2:6" x14ac:dyDescent="0.25">
      <c r="B166" s="1015" t="s">
        <v>384</v>
      </c>
      <c r="C166" s="1077" t="s">
        <v>385</v>
      </c>
      <c r="D166" s="1078"/>
      <c r="E166" s="1078"/>
      <c r="F166" s="1079"/>
    </row>
    <row r="167" spans="2:6" x14ac:dyDescent="0.25">
      <c r="B167" s="1016"/>
      <c r="C167" s="1080"/>
      <c r="D167" s="1081"/>
      <c r="E167" s="1081"/>
      <c r="F167" s="1082"/>
    </row>
    <row r="168" spans="2:6" ht="15.75" thickBot="1" x14ac:dyDescent="0.3">
      <c r="B168" s="1017"/>
      <c r="C168" s="1083"/>
      <c r="D168" s="1084"/>
      <c r="E168" s="1084"/>
      <c r="F168" s="1085"/>
    </row>
    <row r="169" spans="2:6" ht="15.75" thickBot="1" x14ac:dyDescent="0.3">
      <c r="B169" s="247" t="s">
        <v>363</v>
      </c>
      <c r="C169" s="1092" t="s">
        <v>148</v>
      </c>
      <c r="D169" s="1093"/>
      <c r="E169" s="1093"/>
      <c r="F169" s="1094"/>
    </row>
    <row r="170" spans="2:6" ht="15.75" thickBot="1" x14ac:dyDescent="0.3">
      <c r="B170" s="246" t="s">
        <v>386</v>
      </c>
      <c r="C170" s="1095" t="s">
        <v>387</v>
      </c>
      <c r="D170" s="1096"/>
      <c r="E170" s="1096"/>
      <c r="F170" s="1097"/>
    </row>
    <row r="171" spans="2:6" ht="15.75" thickBot="1" x14ac:dyDescent="0.3">
      <c r="B171" s="62" t="s">
        <v>17</v>
      </c>
      <c r="C171" s="992" t="s">
        <v>388</v>
      </c>
      <c r="D171" s="993"/>
      <c r="E171" s="993"/>
      <c r="F171" s="994"/>
    </row>
    <row r="172" spans="2:6" ht="15.75" thickBot="1" x14ac:dyDescent="0.3">
      <c r="B172" s="62" t="s">
        <v>18</v>
      </c>
      <c r="C172" s="995" t="s">
        <v>389</v>
      </c>
      <c r="D172" s="996"/>
      <c r="E172" s="996"/>
      <c r="F172" s="997"/>
    </row>
    <row r="173" spans="2:6" x14ac:dyDescent="0.25">
      <c r="B173" s="998"/>
      <c r="C173" s="63">
        <v>2018</v>
      </c>
      <c r="D173" s="63">
        <v>2019</v>
      </c>
      <c r="E173" s="63">
        <v>2020</v>
      </c>
      <c r="F173" s="63">
        <v>2021</v>
      </c>
    </row>
    <row r="174" spans="2:6" ht="15.75" thickBot="1" x14ac:dyDescent="0.3">
      <c r="B174" s="999"/>
      <c r="C174" s="64" t="s">
        <v>10</v>
      </c>
      <c r="D174" s="64" t="s">
        <v>11</v>
      </c>
      <c r="E174" s="64" t="s">
        <v>11</v>
      </c>
      <c r="F174" s="64" t="s">
        <v>11</v>
      </c>
    </row>
    <row r="175" spans="2:6" ht="15.75" thickBot="1" x14ac:dyDescent="0.3">
      <c r="B175" s="62" t="s">
        <v>19</v>
      </c>
      <c r="C175" s="161">
        <v>22</v>
      </c>
      <c r="D175" s="161">
        <v>21</v>
      </c>
      <c r="E175" s="161">
        <v>11</v>
      </c>
      <c r="F175" s="161">
        <v>12</v>
      </c>
    </row>
    <row r="176" spans="2:6" ht="15.75" thickBot="1" x14ac:dyDescent="0.3">
      <c r="B176" s="62" t="s">
        <v>20</v>
      </c>
      <c r="C176" s="161">
        <v>13977</v>
      </c>
      <c r="D176" s="161">
        <v>15975</v>
      </c>
      <c r="E176" s="161">
        <v>5180</v>
      </c>
      <c r="F176" s="161">
        <v>32685</v>
      </c>
    </row>
    <row r="177" spans="2:6" ht="15.75" thickBot="1" x14ac:dyDescent="0.3">
      <c r="B177" s="62" t="s">
        <v>21</v>
      </c>
      <c r="C177" s="161">
        <f>C176/C175</f>
        <v>635.31818181818187</v>
      </c>
      <c r="D177" s="161">
        <f t="shared" ref="D177:F177" si="26">D176/D175</f>
        <v>760.71428571428567</v>
      </c>
      <c r="E177" s="161">
        <f t="shared" si="26"/>
        <v>470.90909090909093</v>
      </c>
      <c r="F177" s="161">
        <f t="shared" si="26"/>
        <v>2723.75</v>
      </c>
    </row>
    <row r="178" spans="2:6" ht="15.75" thickBot="1" x14ac:dyDescent="0.3">
      <c r="B178" s="62" t="s">
        <v>22</v>
      </c>
      <c r="C178" s="145" t="s">
        <v>23</v>
      </c>
      <c r="D178" s="162"/>
      <c r="E178" s="162"/>
      <c r="F178" s="162"/>
    </row>
    <row r="179" spans="2:6" ht="15.75" thickBot="1" x14ac:dyDescent="0.3">
      <c r="B179" s="62" t="s">
        <v>24</v>
      </c>
      <c r="C179" s="145" t="s">
        <v>23</v>
      </c>
      <c r="D179" s="162">
        <f>D176/C176-1</f>
        <v>0.14294913071474569</v>
      </c>
      <c r="E179" s="162">
        <f t="shared" ref="E179:F180" si="27">E176/D176-1</f>
        <v>-0.67574334898278554</v>
      </c>
      <c r="F179" s="162">
        <f t="shared" si="27"/>
        <v>5.3098455598455603</v>
      </c>
    </row>
    <row r="180" spans="2:6" ht="15.75" thickBot="1" x14ac:dyDescent="0.3">
      <c r="B180" s="62" t="s">
        <v>25</v>
      </c>
      <c r="C180" s="145" t="s">
        <v>23</v>
      </c>
      <c r="D180" s="162">
        <f>D177/C177-1</f>
        <v>0.19737527979640013</v>
      </c>
      <c r="E180" s="162">
        <f t="shared" si="27"/>
        <v>-0.38096457533077244</v>
      </c>
      <c r="F180" s="162">
        <f t="shared" si="27"/>
        <v>4.7840250965250961</v>
      </c>
    </row>
    <row r="181" spans="2:6" ht="15.75" thickBot="1" x14ac:dyDescent="0.3">
      <c r="B181" s="1000" t="s">
        <v>807</v>
      </c>
      <c r="C181" s="1001"/>
      <c r="D181" s="1001"/>
      <c r="E181" s="1001"/>
      <c r="F181" s="1002"/>
    </row>
    <row r="182" spans="2:6" x14ac:dyDescent="0.25">
      <c r="B182" s="998"/>
      <c r="C182" s="63">
        <v>2018</v>
      </c>
      <c r="D182" s="63">
        <v>2019</v>
      </c>
      <c r="E182" s="63">
        <v>2020</v>
      </c>
      <c r="F182" s="63">
        <v>2021</v>
      </c>
    </row>
    <row r="183" spans="2:6" ht="15.75" thickBot="1" x14ac:dyDescent="0.3">
      <c r="B183" s="999"/>
      <c r="C183" s="64" t="s">
        <v>10</v>
      </c>
      <c r="D183" s="64" t="s">
        <v>11</v>
      </c>
      <c r="E183" s="64" t="s">
        <v>11</v>
      </c>
      <c r="F183" s="64" t="s">
        <v>11</v>
      </c>
    </row>
    <row r="184" spans="2:6" ht="15.75" thickBot="1" x14ac:dyDescent="0.3">
      <c r="B184" s="65" t="s">
        <v>58</v>
      </c>
      <c r="C184" s="164"/>
      <c r="D184" s="164"/>
      <c r="E184" s="164"/>
      <c r="F184" s="164"/>
    </row>
    <row r="185" spans="2:6" ht="15.75" thickBot="1" x14ac:dyDescent="0.3">
      <c r="B185" s="65" t="s">
        <v>59</v>
      </c>
      <c r="C185" s="165">
        <f>C176</f>
        <v>13977</v>
      </c>
      <c r="D185" s="165">
        <f t="shared" ref="D185:F185" si="28">D176</f>
        <v>15975</v>
      </c>
      <c r="E185" s="165">
        <f t="shared" si="28"/>
        <v>5180</v>
      </c>
      <c r="F185" s="165">
        <f t="shared" si="28"/>
        <v>32685</v>
      </c>
    </row>
    <row r="186" spans="2:6" ht="15.75" thickBot="1" x14ac:dyDescent="0.3">
      <c r="B186" s="66" t="s">
        <v>390</v>
      </c>
      <c r="C186" s="165">
        <f>C185+C184</f>
        <v>13977</v>
      </c>
      <c r="D186" s="165">
        <f t="shared" ref="D186:F186" si="29">D185+D184</f>
        <v>15975</v>
      </c>
      <c r="E186" s="165">
        <f t="shared" si="29"/>
        <v>5180</v>
      </c>
      <c r="F186" s="165">
        <f t="shared" si="29"/>
        <v>32685</v>
      </c>
    </row>
    <row r="187" spans="2:6" x14ac:dyDescent="0.25">
      <c r="B187" s="1015" t="s">
        <v>391</v>
      </c>
      <c r="C187" s="1077" t="s">
        <v>392</v>
      </c>
      <c r="D187" s="1078"/>
      <c r="E187" s="1078"/>
      <c r="F187" s="1079"/>
    </row>
    <row r="188" spans="2:6" x14ac:dyDescent="0.25">
      <c r="B188" s="1016"/>
      <c r="C188" s="1080"/>
      <c r="D188" s="1081"/>
      <c r="E188" s="1081"/>
      <c r="F188" s="1082"/>
    </row>
    <row r="189" spans="2:6" ht="32.25" customHeight="1" thickBot="1" x14ac:dyDescent="0.3">
      <c r="B189" s="1017"/>
      <c r="C189" s="1083"/>
      <c r="D189" s="1084"/>
      <c r="E189" s="1084"/>
      <c r="F189" s="1085"/>
    </row>
    <row r="190" spans="2:6" ht="15.75" thickBot="1" x14ac:dyDescent="0.3">
      <c r="B190" s="989" t="s">
        <v>63</v>
      </c>
      <c r="C190" s="990"/>
      <c r="D190" s="990"/>
      <c r="E190" s="990"/>
      <c r="F190" s="991"/>
    </row>
    <row r="191" spans="2:6" ht="15.75" thickBot="1" x14ac:dyDescent="0.3">
      <c r="B191" s="989" t="s">
        <v>64</v>
      </c>
      <c r="C191" s="990"/>
      <c r="D191" s="990"/>
      <c r="E191" s="990"/>
      <c r="F191" s="991"/>
    </row>
    <row r="192" spans="2:6" ht="15.75" thickBot="1" x14ac:dyDescent="0.3">
      <c r="B192" s="247" t="s">
        <v>363</v>
      </c>
      <c r="C192" s="1092" t="s">
        <v>148</v>
      </c>
      <c r="D192" s="1093"/>
      <c r="E192" s="1093"/>
      <c r="F192" s="1094"/>
    </row>
    <row r="193" spans="2:6" ht="15.75" thickBot="1" x14ac:dyDescent="0.3">
      <c r="B193" s="733" t="s">
        <v>393</v>
      </c>
      <c r="C193" s="1089" t="s">
        <v>394</v>
      </c>
      <c r="D193" s="1090"/>
      <c r="E193" s="1090"/>
      <c r="F193" s="1091"/>
    </row>
    <row r="194" spans="2:6" ht="15.75" thickBot="1" x14ac:dyDescent="0.3">
      <c r="B194" s="62" t="s">
        <v>17</v>
      </c>
      <c r="C194" s="983" t="s">
        <v>395</v>
      </c>
      <c r="D194" s="984"/>
      <c r="E194" s="984"/>
      <c r="F194" s="985"/>
    </row>
    <row r="195" spans="2:6" ht="15.75" thickBot="1" x14ac:dyDescent="0.3">
      <c r="B195" s="62" t="s">
        <v>18</v>
      </c>
      <c r="C195" s="995" t="s">
        <v>389</v>
      </c>
      <c r="D195" s="996"/>
      <c r="E195" s="996"/>
      <c r="F195" s="997"/>
    </row>
    <row r="196" spans="2:6" x14ac:dyDescent="0.25">
      <c r="B196" s="998"/>
      <c r="C196" s="63">
        <v>2018</v>
      </c>
      <c r="D196" s="63">
        <v>2019</v>
      </c>
      <c r="E196" s="63">
        <v>2020</v>
      </c>
      <c r="F196" s="63">
        <v>2021</v>
      </c>
    </row>
    <row r="197" spans="2:6" ht="15.75" thickBot="1" x14ac:dyDescent="0.3">
      <c r="B197" s="999"/>
      <c r="C197" s="64" t="s">
        <v>10</v>
      </c>
      <c r="D197" s="64" t="s">
        <v>11</v>
      </c>
      <c r="E197" s="64" t="s">
        <v>11</v>
      </c>
      <c r="F197" s="64" t="s">
        <v>11</v>
      </c>
    </row>
    <row r="198" spans="2:6" ht="15.75" thickBot="1" x14ac:dyDescent="0.3">
      <c r="B198" s="62" t="s">
        <v>19</v>
      </c>
      <c r="C198" s="161">
        <v>9</v>
      </c>
      <c r="D198" s="161">
        <v>20</v>
      </c>
      <c r="E198" s="161">
        <v>2</v>
      </c>
      <c r="F198" s="161">
        <v>3</v>
      </c>
    </row>
    <row r="199" spans="2:6" ht="15.75" thickBot="1" x14ac:dyDescent="0.3">
      <c r="B199" s="62" t="s">
        <v>20</v>
      </c>
      <c r="C199" s="161">
        <v>11000</v>
      </c>
      <c r="D199" s="161">
        <v>12180</v>
      </c>
      <c r="E199" s="161">
        <v>1400</v>
      </c>
      <c r="F199" s="161">
        <v>815</v>
      </c>
    </row>
    <row r="200" spans="2:6" ht="15.75" thickBot="1" x14ac:dyDescent="0.3">
      <c r="B200" s="62" t="s">
        <v>21</v>
      </c>
      <c r="C200" s="161">
        <f>C199/C198</f>
        <v>1222.2222222222222</v>
      </c>
      <c r="D200" s="161">
        <f t="shared" ref="D200:F200" si="30">D199/D198</f>
        <v>609</v>
      </c>
      <c r="E200" s="161">
        <f t="shared" si="30"/>
        <v>700</v>
      </c>
      <c r="F200" s="161">
        <f t="shared" si="30"/>
        <v>271.66666666666669</v>
      </c>
    </row>
    <row r="201" spans="2:6" ht="15.75" thickBot="1" x14ac:dyDescent="0.3">
      <c r="B201" s="62" t="s">
        <v>22</v>
      </c>
      <c r="C201" s="145" t="s">
        <v>23</v>
      </c>
      <c r="D201" s="162"/>
      <c r="E201" s="162"/>
      <c r="F201" s="162"/>
    </row>
    <row r="202" spans="2:6" ht="15.75" thickBot="1" x14ac:dyDescent="0.3">
      <c r="B202" s="62" t="s">
        <v>24</v>
      </c>
      <c r="C202" s="145" t="s">
        <v>23</v>
      </c>
      <c r="D202" s="162">
        <f>D199/C199-1</f>
        <v>0.10727272727272719</v>
      </c>
      <c r="E202" s="162">
        <f t="shared" ref="E202:F203" si="31">E199/D199-1</f>
        <v>-0.88505747126436785</v>
      </c>
      <c r="F202" s="162">
        <f t="shared" si="31"/>
        <v>-0.41785714285714282</v>
      </c>
    </row>
    <row r="203" spans="2:6" ht="15.75" thickBot="1" x14ac:dyDescent="0.3">
      <c r="B203" s="62" t="s">
        <v>25</v>
      </c>
      <c r="C203" s="145" t="s">
        <v>23</v>
      </c>
      <c r="D203" s="162">
        <f>D200/C200-1</f>
        <v>-0.50172727272727269</v>
      </c>
      <c r="E203" s="162">
        <f t="shared" si="31"/>
        <v>0.14942528735632177</v>
      </c>
      <c r="F203" s="162">
        <f t="shared" si="31"/>
        <v>-0.61190476190476195</v>
      </c>
    </row>
    <row r="204" spans="2:6" ht="15.75" thickBot="1" x14ac:dyDescent="0.3">
      <c r="B204" s="1000" t="s">
        <v>808</v>
      </c>
      <c r="C204" s="1001"/>
      <c r="D204" s="1001"/>
      <c r="E204" s="1001"/>
      <c r="F204" s="1002"/>
    </row>
    <row r="205" spans="2:6" x14ac:dyDescent="0.25">
      <c r="B205" s="998"/>
      <c r="C205" s="63">
        <v>2018</v>
      </c>
      <c r="D205" s="63">
        <v>2019</v>
      </c>
      <c r="E205" s="63">
        <v>2020</v>
      </c>
      <c r="F205" s="63">
        <v>2021</v>
      </c>
    </row>
    <row r="206" spans="2:6" ht="15.75" thickBot="1" x14ac:dyDescent="0.3">
      <c r="B206" s="999"/>
      <c r="C206" s="64" t="s">
        <v>10</v>
      </c>
      <c r="D206" s="64" t="s">
        <v>11</v>
      </c>
      <c r="E206" s="64" t="s">
        <v>11</v>
      </c>
      <c r="F206" s="64" t="s">
        <v>11</v>
      </c>
    </row>
    <row r="207" spans="2:6" ht="15.75" thickBot="1" x14ac:dyDescent="0.3">
      <c r="B207" s="65" t="s">
        <v>58</v>
      </c>
      <c r="C207" s="164"/>
      <c r="D207" s="164"/>
      <c r="E207" s="164"/>
      <c r="F207" s="164"/>
    </row>
    <row r="208" spans="2:6" ht="15.75" thickBot="1" x14ac:dyDescent="0.3">
      <c r="B208" s="65" t="s">
        <v>59</v>
      </c>
      <c r="C208" s="165">
        <f>C199</f>
        <v>11000</v>
      </c>
      <c r="D208" s="165">
        <f t="shared" ref="D208:F208" si="32">D199</f>
        <v>12180</v>
      </c>
      <c r="E208" s="165">
        <f t="shared" si="32"/>
        <v>1400</v>
      </c>
      <c r="F208" s="165">
        <f t="shared" si="32"/>
        <v>815</v>
      </c>
    </row>
    <row r="209" spans="2:6" ht="15.75" thickBot="1" x14ac:dyDescent="0.3">
      <c r="B209" s="66" t="s">
        <v>396</v>
      </c>
      <c r="C209" s="165">
        <f>C208+C207</f>
        <v>11000</v>
      </c>
      <c r="D209" s="165">
        <f t="shared" ref="D209:F209" si="33">D208+D207</f>
        <v>12180</v>
      </c>
      <c r="E209" s="165">
        <f t="shared" si="33"/>
        <v>1400</v>
      </c>
      <c r="F209" s="165">
        <f t="shared" si="33"/>
        <v>815</v>
      </c>
    </row>
    <row r="210" spans="2:6" x14ac:dyDescent="0.25">
      <c r="B210" s="1015" t="s">
        <v>397</v>
      </c>
      <c r="C210" s="1077" t="s">
        <v>398</v>
      </c>
      <c r="D210" s="1078"/>
      <c r="E210" s="1078"/>
      <c r="F210" s="1079"/>
    </row>
    <row r="211" spans="2:6" x14ac:dyDescent="0.25">
      <c r="B211" s="1016"/>
      <c r="C211" s="1080"/>
      <c r="D211" s="1081"/>
      <c r="E211" s="1081"/>
      <c r="F211" s="1082"/>
    </row>
    <row r="212" spans="2:6" ht="34.5" customHeight="1" thickBot="1" x14ac:dyDescent="0.3">
      <c r="B212" s="1017"/>
      <c r="C212" s="1083"/>
      <c r="D212" s="1084"/>
      <c r="E212" s="1084"/>
      <c r="F212" s="1085"/>
    </row>
    <row r="213" spans="2:6" ht="15.75" thickBot="1" x14ac:dyDescent="0.3">
      <c r="B213" s="247" t="s">
        <v>363</v>
      </c>
      <c r="C213" s="1092" t="s">
        <v>148</v>
      </c>
      <c r="D213" s="1093"/>
      <c r="E213" s="1093"/>
      <c r="F213" s="1094"/>
    </row>
    <row r="214" spans="2:6" ht="15.75" thickBot="1" x14ac:dyDescent="0.3">
      <c r="B214" s="733" t="s">
        <v>399</v>
      </c>
      <c r="C214" s="1089" t="s">
        <v>400</v>
      </c>
      <c r="D214" s="1090"/>
      <c r="E214" s="1090"/>
      <c r="F214" s="1091"/>
    </row>
    <row r="215" spans="2:6" ht="15.75" thickBot="1" x14ac:dyDescent="0.3">
      <c r="B215" s="62" t="s">
        <v>17</v>
      </c>
      <c r="C215" s="983" t="s">
        <v>401</v>
      </c>
      <c r="D215" s="984"/>
      <c r="E215" s="984"/>
      <c r="F215" s="985"/>
    </row>
    <row r="216" spans="2:6" ht="15.75" thickBot="1" x14ac:dyDescent="0.3">
      <c r="B216" s="62" t="s">
        <v>18</v>
      </c>
      <c r="C216" s="995" t="s">
        <v>389</v>
      </c>
      <c r="D216" s="996"/>
      <c r="E216" s="996"/>
      <c r="F216" s="997"/>
    </row>
    <row r="217" spans="2:6" x14ac:dyDescent="0.25">
      <c r="B217" s="998"/>
      <c r="C217" s="63">
        <v>2018</v>
      </c>
      <c r="D217" s="63">
        <v>2019</v>
      </c>
      <c r="E217" s="63">
        <v>2020</v>
      </c>
      <c r="F217" s="63">
        <v>2021</v>
      </c>
    </row>
    <row r="218" spans="2:6" ht="15.75" thickBot="1" x14ac:dyDescent="0.3">
      <c r="B218" s="999"/>
      <c r="C218" s="64" t="s">
        <v>10</v>
      </c>
      <c r="D218" s="64" t="s">
        <v>11</v>
      </c>
      <c r="E218" s="64" t="s">
        <v>11</v>
      </c>
      <c r="F218" s="64" t="s">
        <v>11</v>
      </c>
    </row>
    <row r="219" spans="2:6" ht="15.75" thickBot="1" x14ac:dyDescent="0.3">
      <c r="B219" s="62" t="s">
        <v>19</v>
      </c>
      <c r="C219" s="161">
        <v>7</v>
      </c>
      <c r="D219" s="161">
        <v>17</v>
      </c>
      <c r="E219" s="161">
        <v>5</v>
      </c>
      <c r="F219" s="161">
        <v>4</v>
      </c>
    </row>
    <row r="220" spans="2:6" ht="15.75" thickBot="1" x14ac:dyDescent="0.3">
      <c r="B220" s="62" t="s">
        <v>20</v>
      </c>
      <c r="C220" s="161">
        <v>11900</v>
      </c>
      <c r="D220" s="161">
        <v>6025</v>
      </c>
      <c r="E220" s="161">
        <v>2690</v>
      </c>
      <c r="F220" s="161">
        <v>2250</v>
      </c>
    </row>
    <row r="221" spans="2:6" ht="15.75" thickBot="1" x14ac:dyDescent="0.3">
      <c r="B221" s="62" t="s">
        <v>21</v>
      </c>
      <c r="C221" s="161">
        <f>C220/C219</f>
        <v>1700</v>
      </c>
      <c r="D221" s="161">
        <f t="shared" ref="D221:F221" si="34">D220/D219</f>
        <v>354.41176470588238</v>
      </c>
      <c r="E221" s="161">
        <f t="shared" si="34"/>
        <v>538</v>
      </c>
      <c r="F221" s="161">
        <f t="shared" si="34"/>
        <v>562.5</v>
      </c>
    </row>
    <row r="222" spans="2:6" ht="15.75" thickBot="1" x14ac:dyDescent="0.3">
      <c r="B222" s="62" t="s">
        <v>22</v>
      </c>
      <c r="C222" s="145" t="s">
        <v>23</v>
      </c>
      <c r="D222" s="162"/>
      <c r="E222" s="162"/>
      <c r="F222" s="162"/>
    </row>
    <row r="223" spans="2:6" ht="15.75" thickBot="1" x14ac:dyDescent="0.3">
      <c r="B223" s="62" t="s">
        <v>24</v>
      </c>
      <c r="C223" s="145" t="s">
        <v>23</v>
      </c>
      <c r="D223" s="162">
        <f>D220/C220-1</f>
        <v>-0.49369747899159666</v>
      </c>
      <c r="E223" s="162">
        <f t="shared" ref="E223:F224" si="35">E220/D220-1</f>
        <v>-0.55352697095435688</v>
      </c>
      <c r="F223" s="162">
        <f t="shared" si="35"/>
        <v>-0.16356877323420072</v>
      </c>
    </row>
    <row r="224" spans="2:6" ht="15.75" thickBot="1" x14ac:dyDescent="0.3">
      <c r="B224" s="62" t="s">
        <v>25</v>
      </c>
      <c r="C224" s="145" t="s">
        <v>23</v>
      </c>
      <c r="D224" s="162">
        <f>D221/C221-1</f>
        <v>-0.79152249134948094</v>
      </c>
      <c r="E224" s="162">
        <f t="shared" si="35"/>
        <v>0.51800829875518661</v>
      </c>
      <c r="F224" s="162">
        <f t="shared" si="35"/>
        <v>4.5539033457248967E-2</v>
      </c>
    </row>
    <row r="225" spans="2:6" ht="15.75" thickBot="1" x14ac:dyDescent="0.3">
      <c r="B225" s="1000" t="s">
        <v>809</v>
      </c>
      <c r="C225" s="1001"/>
      <c r="D225" s="1001"/>
      <c r="E225" s="1001"/>
      <c r="F225" s="1002"/>
    </row>
    <row r="226" spans="2:6" x14ac:dyDescent="0.25">
      <c r="B226" s="998"/>
      <c r="C226" s="63">
        <v>2018</v>
      </c>
      <c r="D226" s="63">
        <v>2019</v>
      </c>
      <c r="E226" s="63">
        <v>2020</v>
      </c>
      <c r="F226" s="63">
        <v>2021</v>
      </c>
    </row>
    <row r="227" spans="2:6" ht="15.75" thickBot="1" x14ac:dyDescent="0.3">
      <c r="B227" s="999"/>
      <c r="C227" s="64" t="s">
        <v>10</v>
      </c>
      <c r="D227" s="64" t="s">
        <v>11</v>
      </c>
      <c r="E227" s="64" t="s">
        <v>11</v>
      </c>
      <c r="F227" s="64" t="s">
        <v>11</v>
      </c>
    </row>
    <row r="228" spans="2:6" ht="15.75" thickBot="1" x14ac:dyDescent="0.3">
      <c r="B228" s="65" t="s">
        <v>58</v>
      </c>
      <c r="C228" s="164"/>
      <c r="D228" s="164"/>
      <c r="E228" s="164"/>
      <c r="F228" s="164"/>
    </row>
    <row r="229" spans="2:6" ht="15.75" thickBot="1" x14ac:dyDescent="0.3">
      <c r="B229" s="65" t="s">
        <v>59</v>
      </c>
      <c r="C229" s="165">
        <f>C220</f>
        <v>11900</v>
      </c>
      <c r="D229" s="165">
        <f t="shared" ref="D229:F229" si="36">D220</f>
        <v>6025</v>
      </c>
      <c r="E229" s="243">
        <f t="shared" si="36"/>
        <v>2690</v>
      </c>
      <c r="F229" s="243">
        <f t="shared" si="36"/>
        <v>2250</v>
      </c>
    </row>
    <row r="230" spans="2:6" ht="15.75" thickBot="1" x14ac:dyDescent="0.3">
      <c r="B230" s="66" t="s">
        <v>402</v>
      </c>
      <c r="C230" s="165">
        <f>C229+C228</f>
        <v>11900</v>
      </c>
      <c r="D230" s="165">
        <f t="shared" ref="D230:F230" si="37">D229+D228</f>
        <v>6025</v>
      </c>
      <c r="E230" s="165">
        <f t="shared" si="37"/>
        <v>2690</v>
      </c>
      <c r="F230" s="165">
        <f t="shared" si="37"/>
        <v>2250</v>
      </c>
    </row>
    <row r="231" spans="2:6" x14ac:dyDescent="0.25">
      <c r="B231" s="1015" t="s">
        <v>403</v>
      </c>
      <c r="C231" s="1077" t="s">
        <v>404</v>
      </c>
      <c r="D231" s="1078"/>
      <c r="E231" s="1078"/>
      <c r="F231" s="1079"/>
    </row>
    <row r="232" spans="2:6" x14ac:dyDescent="0.25">
      <c r="B232" s="1016"/>
      <c r="C232" s="1080"/>
      <c r="D232" s="1081"/>
      <c r="E232" s="1081"/>
      <c r="F232" s="1082"/>
    </row>
    <row r="233" spans="2:6" ht="15.75" thickBot="1" x14ac:dyDescent="0.3">
      <c r="B233" s="1017"/>
      <c r="C233" s="1083"/>
      <c r="D233" s="1084"/>
      <c r="E233" s="1084"/>
      <c r="F233" s="1085"/>
    </row>
    <row r="234" spans="2:6" ht="15.75" thickBot="1" x14ac:dyDescent="0.3">
      <c r="B234" s="247" t="s">
        <v>405</v>
      </c>
      <c r="C234" s="1009" t="s">
        <v>406</v>
      </c>
      <c r="D234" s="1010"/>
      <c r="E234" s="1010"/>
      <c r="F234" s="1011"/>
    </row>
    <row r="235" spans="2:6" ht="15.75" thickBot="1" x14ac:dyDescent="0.3">
      <c r="B235" s="733" t="s">
        <v>407</v>
      </c>
      <c r="C235" s="1089" t="s">
        <v>408</v>
      </c>
      <c r="D235" s="1090"/>
      <c r="E235" s="1090"/>
      <c r="F235" s="1091"/>
    </row>
    <row r="236" spans="2:6" ht="15.75" thickBot="1" x14ac:dyDescent="0.3">
      <c r="B236" s="62" t="s">
        <v>17</v>
      </c>
      <c r="C236" s="983" t="s">
        <v>409</v>
      </c>
      <c r="D236" s="984"/>
      <c r="E236" s="984"/>
      <c r="F236" s="985"/>
    </row>
    <row r="237" spans="2:6" ht="15.75" thickBot="1" x14ac:dyDescent="0.3">
      <c r="B237" s="62" t="s">
        <v>18</v>
      </c>
      <c r="C237" s="995" t="s">
        <v>389</v>
      </c>
      <c r="D237" s="996"/>
      <c r="E237" s="996"/>
      <c r="F237" s="997"/>
    </row>
    <row r="238" spans="2:6" x14ac:dyDescent="0.25">
      <c r="B238" s="998"/>
      <c r="C238" s="63">
        <v>2018</v>
      </c>
      <c r="D238" s="63">
        <v>2019</v>
      </c>
      <c r="E238" s="63">
        <v>2020</v>
      </c>
      <c r="F238" s="63">
        <v>2021</v>
      </c>
    </row>
    <row r="239" spans="2:6" ht="15.75" thickBot="1" x14ac:dyDescent="0.3">
      <c r="B239" s="999"/>
      <c r="C239" s="64" t="s">
        <v>10</v>
      </c>
      <c r="D239" s="64" t="s">
        <v>11</v>
      </c>
      <c r="E239" s="64" t="s">
        <v>11</v>
      </c>
      <c r="F239" s="64" t="s">
        <v>11</v>
      </c>
    </row>
    <row r="240" spans="2:6" ht="15.75" thickBot="1" x14ac:dyDescent="0.3">
      <c r="B240" s="62" t="s">
        <v>19</v>
      </c>
      <c r="C240" s="161">
        <v>5</v>
      </c>
      <c r="D240" s="161">
        <v>12</v>
      </c>
      <c r="E240" s="161">
        <v>4</v>
      </c>
      <c r="F240" s="161">
        <v>5</v>
      </c>
    </row>
    <row r="241" spans="2:6" ht="15.75" thickBot="1" x14ac:dyDescent="0.3">
      <c r="B241" s="62" t="s">
        <v>20</v>
      </c>
      <c r="C241" s="161">
        <v>14000</v>
      </c>
      <c r="D241" s="161">
        <v>33600</v>
      </c>
      <c r="E241" s="161">
        <v>11200</v>
      </c>
      <c r="F241" s="161">
        <v>14000</v>
      </c>
    </row>
    <row r="242" spans="2:6" ht="15.75" thickBot="1" x14ac:dyDescent="0.3">
      <c r="B242" s="62" t="s">
        <v>21</v>
      </c>
      <c r="C242" s="161">
        <f>C241/C240</f>
        <v>2800</v>
      </c>
      <c r="D242" s="161">
        <f t="shared" ref="D242:F242" si="38">D241/D240</f>
        <v>2800</v>
      </c>
      <c r="E242" s="161">
        <f t="shared" si="38"/>
        <v>2800</v>
      </c>
      <c r="F242" s="161">
        <f t="shared" si="38"/>
        <v>2800</v>
      </c>
    </row>
    <row r="243" spans="2:6" ht="15.75" thickBot="1" x14ac:dyDescent="0.3">
      <c r="B243" s="62" t="s">
        <v>22</v>
      </c>
      <c r="C243" s="145" t="s">
        <v>23</v>
      </c>
      <c r="D243" s="162"/>
      <c r="E243" s="162"/>
      <c r="F243" s="162"/>
    </row>
    <row r="244" spans="2:6" ht="15.75" thickBot="1" x14ac:dyDescent="0.3">
      <c r="B244" s="62" t="s">
        <v>24</v>
      </c>
      <c r="C244" s="145" t="s">
        <v>23</v>
      </c>
      <c r="D244" s="162">
        <f>D241/C241-1</f>
        <v>1.4</v>
      </c>
      <c r="E244" s="162">
        <f t="shared" ref="E244:F245" si="39">E241/D241-1</f>
        <v>-0.66666666666666674</v>
      </c>
      <c r="F244" s="162">
        <f t="shared" si="39"/>
        <v>0.25</v>
      </c>
    </row>
    <row r="245" spans="2:6" ht="15.75" thickBot="1" x14ac:dyDescent="0.3">
      <c r="B245" s="62" t="s">
        <v>25</v>
      </c>
      <c r="C245" s="145" t="s">
        <v>23</v>
      </c>
      <c r="D245" s="162">
        <f>D242/C242-1</f>
        <v>0</v>
      </c>
      <c r="E245" s="162">
        <f t="shared" si="39"/>
        <v>0</v>
      </c>
      <c r="F245" s="162">
        <f t="shared" si="39"/>
        <v>0</v>
      </c>
    </row>
    <row r="246" spans="2:6" ht="15.75" thickBot="1" x14ac:dyDescent="0.3">
      <c r="B246" s="1000" t="s">
        <v>810</v>
      </c>
      <c r="C246" s="1001"/>
      <c r="D246" s="1001"/>
      <c r="E246" s="1001"/>
      <c r="F246" s="1002"/>
    </row>
    <row r="247" spans="2:6" x14ac:dyDescent="0.25">
      <c r="B247" s="998"/>
      <c r="C247" s="63">
        <v>2018</v>
      </c>
      <c r="D247" s="63">
        <v>2019</v>
      </c>
      <c r="E247" s="63">
        <v>2020</v>
      </c>
      <c r="F247" s="63">
        <v>2021</v>
      </c>
    </row>
    <row r="248" spans="2:6" ht="15.75" thickBot="1" x14ac:dyDescent="0.3">
      <c r="B248" s="999"/>
      <c r="C248" s="64" t="s">
        <v>10</v>
      </c>
      <c r="D248" s="64" t="s">
        <v>11</v>
      </c>
      <c r="E248" s="64" t="s">
        <v>11</v>
      </c>
      <c r="F248" s="64" t="s">
        <v>11</v>
      </c>
    </row>
    <row r="249" spans="2:6" ht="15.75" thickBot="1" x14ac:dyDescent="0.3">
      <c r="B249" s="65" t="s">
        <v>58</v>
      </c>
      <c r="C249" s="164"/>
      <c r="D249" s="164"/>
      <c r="E249" s="164"/>
      <c r="F249" s="164"/>
    </row>
    <row r="250" spans="2:6" ht="15.75" thickBot="1" x14ac:dyDescent="0.3">
      <c r="B250" s="65" t="s">
        <v>59</v>
      </c>
      <c r="C250" s="165">
        <f>C241</f>
        <v>14000</v>
      </c>
      <c r="D250" s="165">
        <v>33600</v>
      </c>
      <c r="E250" s="243">
        <f t="shared" ref="E250:F250" si="40">E241</f>
        <v>11200</v>
      </c>
      <c r="F250" s="243">
        <f t="shared" si="40"/>
        <v>14000</v>
      </c>
    </row>
    <row r="251" spans="2:6" ht="15.75" thickBot="1" x14ac:dyDescent="0.3">
      <c r="B251" s="66" t="s">
        <v>143</v>
      </c>
      <c r="C251" s="241">
        <f>C250+C249</f>
        <v>14000</v>
      </c>
      <c r="D251" s="165">
        <f t="shared" ref="D251:F251" si="41">D250+D249</f>
        <v>33600</v>
      </c>
      <c r="E251" s="165">
        <f t="shared" si="41"/>
        <v>11200</v>
      </c>
      <c r="F251" s="165">
        <f t="shared" si="41"/>
        <v>14000</v>
      </c>
    </row>
    <row r="252" spans="2:6" x14ac:dyDescent="0.25">
      <c r="B252" s="1015" t="s">
        <v>410</v>
      </c>
      <c r="C252" s="1036" t="s">
        <v>411</v>
      </c>
      <c r="D252" s="1037"/>
      <c r="E252" s="1037"/>
      <c r="F252" s="1038"/>
    </row>
    <row r="253" spans="2:6" x14ac:dyDescent="0.25">
      <c r="B253" s="1016"/>
      <c r="C253" s="1039"/>
      <c r="D253" s="1040"/>
      <c r="E253" s="1040"/>
      <c r="F253" s="1041"/>
    </row>
    <row r="254" spans="2:6" ht="15.75" thickBot="1" x14ac:dyDescent="0.3">
      <c r="B254" s="1017"/>
      <c r="C254" s="1042"/>
      <c r="D254" s="1043"/>
      <c r="E254" s="1043"/>
      <c r="F254" s="1044"/>
    </row>
    <row r="255" spans="2:6" ht="15.75" thickBot="1" x14ac:dyDescent="0.3">
      <c r="B255" s="247" t="s">
        <v>405</v>
      </c>
      <c r="C255" s="1009" t="s">
        <v>412</v>
      </c>
      <c r="D255" s="1010"/>
      <c r="E255" s="1010"/>
      <c r="F255" s="1011"/>
    </row>
    <row r="256" spans="2:6" ht="15.75" thickBot="1" x14ac:dyDescent="0.3">
      <c r="B256" s="733" t="s">
        <v>413</v>
      </c>
      <c r="C256" s="1089" t="s">
        <v>414</v>
      </c>
      <c r="D256" s="1090"/>
      <c r="E256" s="1090"/>
      <c r="F256" s="1091"/>
    </row>
    <row r="257" spans="2:6" ht="15.75" thickBot="1" x14ac:dyDescent="0.3">
      <c r="B257" s="62" t="s">
        <v>17</v>
      </c>
      <c r="C257" s="983" t="s">
        <v>415</v>
      </c>
      <c r="D257" s="984"/>
      <c r="E257" s="984"/>
      <c r="F257" s="985"/>
    </row>
    <row r="258" spans="2:6" ht="15.75" thickBot="1" x14ac:dyDescent="0.3">
      <c r="B258" s="62" t="s">
        <v>18</v>
      </c>
      <c r="C258" s="995" t="s">
        <v>389</v>
      </c>
      <c r="D258" s="996"/>
      <c r="E258" s="996"/>
      <c r="F258" s="997"/>
    </row>
    <row r="259" spans="2:6" x14ac:dyDescent="0.25">
      <c r="B259" s="998"/>
      <c r="C259" s="63">
        <v>2018</v>
      </c>
      <c r="D259" s="63">
        <v>2019</v>
      </c>
      <c r="E259" s="63">
        <v>2020</v>
      </c>
      <c r="F259" s="63">
        <v>2021</v>
      </c>
    </row>
    <row r="260" spans="2:6" ht="15.75" thickBot="1" x14ac:dyDescent="0.3">
      <c r="B260" s="999"/>
      <c r="C260" s="64" t="s">
        <v>10</v>
      </c>
      <c r="D260" s="64" t="s">
        <v>11</v>
      </c>
      <c r="E260" s="64" t="s">
        <v>11</v>
      </c>
      <c r="F260" s="64" t="s">
        <v>11</v>
      </c>
    </row>
    <row r="261" spans="2:6" ht="15.75" thickBot="1" x14ac:dyDescent="0.3">
      <c r="B261" s="62" t="s">
        <v>19</v>
      </c>
      <c r="C261" s="161"/>
      <c r="D261" s="161">
        <v>15</v>
      </c>
      <c r="E261" s="161"/>
      <c r="F261" s="161"/>
    </row>
    <row r="262" spans="2:6" ht="15.75" thickBot="1" x14ac:dyDescent="0.3">
      <c r="B262" s="62" t="s">
        <v>20</v>
      </c>
      <c r="C262" s="161"/>
      <c r="D262" s="161">
        <v>2250</v>
      </c>
      <c r="E262" s="161"/>
      <c r="F262" s="161"/>
    </row>
    <row r="263" spans="2:6" ht="15.75" thickBot="1" x14ac:dyDescent="0.3">
      <c r="B263" s="62" t="s">
        <v>21</v>
      </c>
      <c r="C263" s="161"/>
      <c r="D263" s="161">
        <f t="shared" ref="D263" si="42">D262/D261</f>
        <v>150</v>
      </c>
      <c r="E263" s="161"/>
      <c r="F263" s="161"/>
    </row>
    <row r="264" spans="2:6" ht="15.75" thickBot="1" x14ac:dyDescent="0.3">
      <c r="B264" s="62" t="s">
        <v>22</v>
      </c>
      <c r="C264" s="145" t="s">
        <v>23</v>
      </c>
      <c r="D264" s="145" t="s">
        <v>23</v>
      </c>
      <c r="E264" s="145" t="s">
        <v>23</v>
      </c>
      <c r="F264" s="145" t="s">
        <v>23</v>
      </c>
    </row>
    <row r="265" spans="2:6" ht="15.75" thickBot="1" x14ac:dyDescent="0.3">
      <c r="B265" s="62" t="s">
        <v>24</v>
      </c>
      <c r="C265" s="145" t="s">
        <v>23</v>
      </c>
      <c r="D265" s="145" t="s">
        <v>23</v>
      </c>
      <c r="E265" s="145" t="s">
        <v>23</v>
      </c>
      <c r="F265" s="145" t="s">
        <v>23</v>
      </c>
    </row>
    <row r="266" spans="2:6" ht="15.75" thickBot="1" x14ac:dyDescent="0.3">
      <c r="B266" s="62" t="s">
        <v>25</v>
      </c>
      <c r="C266" s="145" t="s">
        <v>23</v>
      </c>
      <c r="D266" s="145" t="s">
        <v>23</v>
      </c>
      <c r="E266" s="145" t="s">
        <v>23</v>
      </c>
      <c r="F266" s="145" t="s">
        <v>23</v>
      </c>
    </row>
    <row r="267" spans="2:6" ht="15.75" thickBot="1" x14ac:dyDescent="0.3">
      <c r="B267" s="1000" t="s">
        <v>811</v>
      </c>
      <c r="C267" s="1001"/>
      <c r="D267" s="1001"/>
      <c r="E267" s="1001"/>
      <c r="F267" s="1002"/>
    </row>
    <row r="268" spans="2:6" x14ac:dyDescent="0.25">
      <c r="B268" s="998"/>
      <c r="C268" s="63">
        <v>2018</v>
      </c>
      <c r="D268" s="63">
        <v>2019</v>
      </c>
      <c r="E268" s="63">
        <v>2020</v>
      </c>
      <c r="F268" s="63">
        <v>2021</v>
      </c>
    </row>
    <row r="269" spans="2:6" ht="15.75" thickBot="1" x14ac:dyDescent="0.3">
      <c r="B269" s="999"/>
      <c r="C269" s="64" t="s">
        <v>10</v>
      </c>
      <c r="D269" s="64" t="s">
        <v>11</v>
      </c>
      <c r="E269" s="64" t="s">
        <v>11</v>
      </c>
      <c r="F269" s="64" t="s">
        <v>11</v>
      </c>
    </row>
    <row r="270" spans="2:6" ht="15.75" thickBot="1" x14ac:dyDescent="0.3">
      <c r="B270" s="65" t="s">
        <v>58</v>
      </c>
      <c r="C270" s="164"/>
      <c r="D270" s="164"/>
      <c r="E270" s="164"/>
      <c r="F270" s="164"/>
    </row>
    <row r="271" spans="2:6" ht="15.75" thickBot="1" x14ac:dyDescent="0.3">
      <c r="B271" s="65" t="s">
        <v>59</v>
      </c>
      <c r="C271" s="165">
        <f>C262</f>
        <v>0</v>
      </c>
      <c r="D271" s="165">
        <f t="shared" ref="D271:F271" si="43">D262</f>
        <v>2250</v>
      </c>
      <c r="E271" s="165">
        <f t="shared" si="43"/>
        <v>0</v>
      </c>
      <c r="F271" s="165">
        <f t="shared" si="43"/>
        <v>0</v>
      </c>
    </row>
    <row r="272" spans="2:6" ht="15.75" thickBot="1" x14ac:dyDescent="0.3">
      <c r="B272" s="66" t="s">
        <v>416</v>
      </c>
      <c r="C272" s="241">
        <f>C271+C270</f>
        <v>0</v>
      </c>
      <c r="D272" s="165">
        <f t="shared" ref="D272:F272" si="44">D271+D270</f>
        <v>2250</v>
      </c>
      <c r="E272" s="165">
        <f t="shared" si="44"/>
        <v>0</v>
      </c>
      <c r="F272" s="165">
        <f t="shared" si="44"/>
        <v>0</v>
      </c>
    </row>
    <row r="273" spans="2:6" x14ac:dyDescent="0.25">
      <c r="B273" s="1015" t="s">
        <v>417</v>
      </c>
      <c r="C273" s="1077" t="s">
        <v>418</v>
      </c>
      <c r="D273" s="1078"/>
      <c r="E273" s="1078"/>
      <c r="F273" s="1079"/>
    </row>
    <row r="274" spans="2:6" x14ac:dyDescent="0.25">
      <c r="B274" s="1016"/>
      <c r="C274" s="1080"/>
      <c r="D274" s="1081"/>
      <c r="E274" s="1081"/>
      <c r="F274" s="1082"/>
    </row>
    <row r="275" spans="2:6" ht="15.75" thickBot="1" x14ac:dyDescent="0.3">
      <c r="B275" s="1017"/>
      <c r="C275" s="1083"/>
      <c r="D275" s="1084"/>
      <c r="E275" s="1084"/>
      <c r="F275" s="1085"/>
    </row>
    <row r="276" spans="2:6" ht="15.75" thickBot="1" x14ac:dyDescent="0.3">
      <c r="B276" s="989" t="s">
        <v>63</v>
      </c>
      <c r="C276" s="990"/>
      <c r="D276" s="990"/>
      <c r="E276" s="990"/>
      <c r="F276" s="991"/>
    </row>
    <row r="277" spans="2:6" ht="15.75" thickBot="1" x14ac:dyDescent="0.3">
      <c r="B277" s="989" t="s">
        <v>64</v>
      </c>
      <c r="C277" s="990"/>
      <c r="D277" s="990"/>
      <c r="E277" s="990"/>
      <c r="F277" s="991"/>
    </row>
    <row r="278" spans="2:6" ht="15.75" thickBot="1" x14ac:dyDescent="0.3">
      <c r="B278" s="247" t="s">
        <v>419</v>
      </c>
      <c r="C278" s="1009" t="s">
        <v>420</v>
      </c>
      <c r="D278" s="1010"/>
      <c r="E278" s="1010"/>
      <c r="F278" s="1011"/>
    </row>
    <row r="279" spans="2:6" ht="15.75" thickBot="1" x14ac:dyDescent="0.3">
      <c r="B279" s="160" t="s">
        <v>134</v>
      </c>
      <c r="C279" s="992" t="s">
        <v>421</v>
      </c>
      <c r="D279" s="993"/>
      <c r="E279" s="993"/>
      <c r="F279" s="994"/>
    </row>
    <row r="280" spans="2:6" ht="15.75" thickBot="1" x14ac:dyDescent="0.3">
      <c r="B280" s="62" t="s">
        <v>17</v>
      </c>
      <c r="C280" s="983" t="s">
        <v>422</v>
      </c>
      <c r="D280" s="984"/>
      <c r="E280" s="984"/>
      <c r="F280" s="985"/>
    </row>
    <row r="281" spans="2:6" ht="15.75" thickBot="1" x14ac:dyDescent="0.3">
      <c r="B281" s="62" t="s">
        <v>18</v>
      </c>
      <c r="C281" s="995" t="s">
        <v>144</v>
      </c>
      <c r="D281" s="996"/>
      <c r="E281" s="996"/>
      <c r="F281" s="997"/>
    </row>
    <row r="282" spans="2:6" x14ac:dyDescent="0.25">
      <c r="B282" s="998"/>
      <c r="C282" s="63">
        <v>2018</v>
      </c>
      <c r="D282" s="63">
        <v>2019</v>
      </c>
      <c r="E282" s="63">
        <v>2020</v>
      </c>
      <c r="F282" s="63">
        <v>2021</v>
      </c>
    </row>
    <row r="283" spans="2:6" ht="15.75" thickBot="1" x14ac:dyDescent="0.3">
      <c r="B283" s="999"/>
      <c r="C283" s="64" t="s">
        <v>10</v>
      </c>
      <c r="D283" s="64" t="s">
        <v>11</v>
      </c>
      <c r="E283" s="64" t="s">
        <v>11</v>
      </c>
      <c r="F283" s="64" t="s">
        <v>11</v>
      </c>
    </row>
    <row r="284" spans="2:6" ht="15.75" thickBot="1" x14ac:dyDescent="0.3">
      <c r="B284" s="62" t="s">
        <v>19</v>
      </c>
      <c r="C284" s="161"/>
      <c r="D284" s="161"/>
      <c r="E284" s="161">
        <f>E285/E286</f>
        <v>1273.0683076923076</v>
      </c>
      <c r="F284" s="161">
        <f>F285/F286</f>
        <v>972.38834951456306</v>
      </c>
    </row>
    <row r="285" spans="2:6" ht="15.75" thickBot="1" x14ac:dyDescent="0.3">
      <c r="B285" s="62" t="s">
        <v>20</v>
      </c>
      <c r="C285" s="161"/>
      <c r="D285" s="161"/>
      <c r="E285" s="161">
        <f>130000-49190</f>
        <v>80810</v>
      </c>
      <c r="F285" s="161">
        <f>111240-49500</f>
        <v>61740</v>
      </c>
    </row>
    <row r="286" spans="2:6" ht="15.75" thickBot="1" x14ac:dyDescent="0.3">
      <c r="B286" s="62" t="s">
        <v>21</v>
      </c>
      <c r="C286" s="161"/>
      <c r="D286" s="161"/>
      <c r="E286" s="248">
        <v>63.4765625</v>
      </c>
      <c r="F286" s="248">
        <v>63.493150684931507</v>
      </c>
    </row>
    <row r="287" spans="2:6" ht="15.75" thickBot="1" x14ac:dyDescent="0.3">
      <c r="B287" s="62" t="s">
        <v>22</v>
      </c>
      <c r="C287" s="145" t="s">
        <v>23</v>
      </c>
      <c r="D287" s="145" t="s">
        <v>23</v>
      </c>
      <c r="E287" s="145"/>
      <c r="F287" s="162"/>
    </row>
    <row r="288" spans="2:6" ht="15.75" thickBot="1" x14ac:dyDescent="0.3">
      <c r="B288" s="62" t="s">
        <v>24</v>
      </c>
      <c r="C288" s="145" t="s">
        <v>23</v>
      </c>
      <c r="D288" s="145" t="s">
        <v>23</v>
      </c>
      <c r="E288" s="145" t="s">
        <v>23</v>
      </c>
      <c r="F288" s="162">
        <f t="shared" ref="F288:F289" si="45">F285/E285-1</f>
        <v>-0.23598564534092314</v>
      </c>
    </row>
    <row r="289" spans="2:6" ht="15.75" thickBot="1" x14ac:dyDescent="0.3">
      <c r="B289" s="62" t="s">
        <v>25</v>
      </c>
      <c r="C289" s="145"/>
      <c r="D289" s="145" t="s">
        <v>23</v>
      </c>
      <c r="E289" s="145" t="s">
        <v>23</v>
      </c>
      <c r="F289" s="162">
        <f t="shared" si="45"/>
        <v>2.6132771338249761E-4</v>
      </c>
    </row>
    <row r="290" spans="2:6" ht="15.75" thickBot="1" x14ac:dyDescent="0.3">
      <c r="B290" s="1000" t="s">
        <v>812</v>
      </c>
      <c r="C290" s="1001"/>
      <c r="D290" s="1001"/>
      <c r="E290" s="1001"/>
      <c r="F290" s="1002"/>
    </row>
    <row r="291" spans="2:6" x14ac:dyDescent="0.25">
      <c r="B291" s="998"/>
      <c r="C291" s="63">
        <v>2018</v>
      </c>
      <c r="D291" s="63">
        <v>2019</v>
      </c>
      <c r="E291" s="63">
        <v>2020</v>
      </c>
      <c r="F291" s="63">
        <v>2021</v>
      </c>
    </row>
    <row r="292" spans="2:6" ht="15.75" thickBot="1" x14ac:dyDescent="0.3">
      <c r="B292" s="999"/>
      <c r="C292" s="64" t="s">
        <v>10</v>
      </c>
      <c r="D292" s="64" t="s">
        <v>11</v>
      </c>
      <c r="E292" s="64" t="s">
        <v>11</v>
      </c>
      <c r="F292" s="64" t="s">
        <v>11</v>
      </c>
    </row>
    <row r="293" spans="2:6" ht="15.75" thickBot="1" x14ac:dyDescent="0.3">
      <c r="B293" s="65" t="s">
        <v>58</v>
      </c>
      <c r="C293" s="164"/>
      <c r="D293" s="164"/>
      <c r="E293" s="164">
        <f>E285</f>
        <v>80810</v>
      </c>
      <c r="F293" s="164">
        <f>F285</f>
        <v>61740</v>
      </c>
    </row>
    <row r="294" spans="2:6" ht="15.75" thickBot="1" x14ac:dyDescent="0.3">
      <c r="B294" s="65" t="s">
        <v>59</v>
      </c>
      <c r="C294" s="165"/>
      <c r="D294" s="164"/>
      <c r="E294" s="164"/>
      <c r="F294" s="164"/>
    </row>
    <row r="295" spans="2:6" ht="15.75" thickBot="1" x14ac:dyDescent="0.3">
      <c r="B295" s="66" t="s">
        <v>135</v>
      </c>
      <c r="C295" s="165">
        <f>C294+C293</f>
        <v>0</v>
      </c>
      <c r="D295" s="165">
        <f t="shared" ref="D295:F295" si="46">D294+D293</f>
        <v>0</v>
      </c>
      <c r="E295" s="165">
        <f t="shared" si="46"/>
        <v>80810</v>
      </c>
      <c r="F295" s="165">
        <f t="shared" si="46"/>
        <v>61740</v>
      </c>
    </row>
    <row r="296" spans="2:6" x14ac:dyDescent="0.25">
      <c r="B296" s="1015" t="s">
        <v>182</v>
      </c>
      <c r="C296" s="1077" t="s">
        <v>423</v>
      </c>
      <c r="D296" s="1078"/>
      <c r="E296" s="1078"/>
      <c r="F296" s="1079"/>
    </row>
    <row r="297" spans="2:6" x14ac:dyDescent="0.25">
      <c r="B297" s="1016"/>
      <c r="C297" s="1080"/>
      <c r="D297" s="1081"/>
      <c r="E297" s="1081"/>
      <c r="F297" s="1082"/>
    </row>
    <row r="298" spans="2:6" ht="29.25" customHeight="1" thickBot="1" x14ac:dyDescent="0.3">
      <c r="B298" s="1017"/>
      <c r="C298" s="1083"/>
      <c r="D298" s="1084"/>
      <c r="E298" s="1084"/>
      <c r="F298" s="1085"/>
    </row>
    <row r="299" spans="2:6" ht="15.75" thickBot="1" x14ac:dyDescent="0.3">
      <c r="B299" s="249" t="s">
        <v>424</v>
      </c>
      <c r="C299" s="992" t="s">
        <v>425</v>
      </c>
      <c r="D299" s="993"/>
      <c r="E299" s="993"/>
      <c r="F299" s="994"/>
    </row>
    <row r="300" spans="2:6" ht="15.75" thickBot="1" x14ac:dyDescent="0.3">
      <c r="B300" s="160" t="s">
        <v>137</v>
      </c>
      <c r="C300" s="992" t="s">
        <v>425</v>
      </c>
      <c r="D300" s="993"/>
      <c r="E300" s="993"/>
      <c r="F300" s="994"/>
    </row>
    <row r="301" spans="2:6" ht="15.75" thickBot="1" x14ac:dyDescent="0.3">
      <c r="B301" s="62" t="s">
        <v>17</v>
      </c>
      <c r="C301" s="983" t="s">
        <v>426</v>
      </c>
      <c r="D301" s="984"/>
      <c r="E301" s="984"/>
      <c r="F301" s="985"/>
    </row>
    <row r="302" spans="2:6" ht="15.75" thickBot="1" x14ac:dyDescent="0.3">
      <c r="B302" s="62" t="s">
        <v>18</v>
      </c>
      <c r="C302" s="995" t="s">
        <v>427</v>
      </c>
      <c r="D302" s="996"/>
      <c r="E302" s="996"/>
      <c r="F302" s="997"/>
    </row>
    <row r="303" spans="2:6" x14ac:dyDescent="0.25">
      <c r="B303" s="998"/>
      <c r="C303" s="63">
        <v>2018</v>
      </c>
      <c r="D303" s="63">
        <v>2019</v>
      </c>
      <c r="E303" s="63">
        <v>2020</v>
      </c>
      <c r="F303" s="63">
        <v>2021</v>
      </c>
    </row>
    <row r="304" spans="2:6" ht="15.75" thickBot="1" x14ac:dyDescent="0.3">
      <c r="B304" s="999"/>
      <c r="C304" s="64" t="s">
        <v>428</v>
      </c>
      <c r="D304" s="64" t="s">
        <v>11</v>
      </c>
      <c r="E304" s="64" t="s">
        <v>11</v>
      </c>
      <c r="F304" s="64" t="s">
        <v>11</v>
      </c>
    </row>
    <row r="305" spans="2:6" ht="15.75" thickBot="1" x14ac:dyDescent="0.3">
      <c r="B305" s="62" t="s">
        <v>19</v>
      </c>
      <c r="C305" s="161">
        <v>0</v>
      </c>
      <c r="D305" s="161">
        <v>3</v>
      </c>
      <c r="E305" s="161"/>
      <c r="F305" s="161"/>
    </row>
    <row r="306" spans="2:6" ht="15.75" thickBot="1" x14ac:dyDescent="0.3">
      <c r="B306" s="62" t="s">
        <v>20</v>
      </c>
      <c r="C306" s="161">
        <v>0</v>
      </c>
      <c r="D306" s="161">
        <v>2150</v>
      </c>
      <c r="E306" s="161"/>
      <c r="F306" s="161"/>
    </row>
    <row r="307" spans="2:6" ht="15.75" thickBot="1" x14ac:dyDescent="0.3">
      <c r="B307" s="62" t="s">
        <v>21</v>
      </c>
      <c r="C307" s="161">
        <v>0</v>
      </c>
      <c r="D307" s="161">
        <f t="shared" ref="D307" si="47">D306/D305</f>
        <v>716.66666666666663</v>
      </c>
      <c r="E307" s="161"/>
      <c r="F307" s="161"/>
    </row>
    <row r="308" spans="2:6" ht="15.75" thickBot="1" x14ac:dyDescent="0.3">
      <c r="B308" s="62" t="s">
        <v>22</v>
      </c>
      <c r="C308" s="145" t="s">
        <v>23</v>
      </c>
      <c r="D308" s="162"/>
      <c r="E308" s="162"/>
      <c r="F308" s="162"/>
    </row>
    <row r="309" spans="2:6" ht="15.75" thickBot="1" x14ac:dyDescent="0.3">
      <c r="B309" s="62" t="s">
        <v>24</v>
      </c>
      <c r="C309" s="145" t="s">
        <v>23</v>
      </c>
      <c r="D309" s="162"/>
      <c r="E309" s="162"/>
      <c r="F309" s="162"/>
    </row>
    <row r="310" spans="2:6" ht="15.75" thickBot="1" x14ac:dyDescent="0.3">
      <c r="B310" s="62" t="s">
        <v>25</v>
      </c>
      <c r="C310" s="145" t="s">
        <v>23</v>
      </c>
      <c r="D310" s="162"/>
      <c r="E310" s="162"/>
      <c r="F310" s="162"/>
    </row>
    <row r="311" spans="2:6" ht="15.75" thickBot="1" x14ac:dyDescent="0.3">
      <c r="B311" s="1000" t="s">
        <v>813</v>
      </c>
      <c r="C311" s="1001"/>
      <c r="D311" s="1001"/>
      <c r="E311" s="1001"/>
      <c r="F311" s="1002"/>
    </row>
    <row r="312" spans="2:6" x14ac:dyDescent="0.25">
      <c r="B312" s="998"/>
      <c r="C312" s="63">
        <v>2018</v>
      </c>
      <c r="D312" s="63">
        <v>2019</v>
      </c>
      <c r="E312" s="63">
        <v>2020</v>
      </c>
      <c r="F312" s="63">
        <v>2021</v>
      </c>
    </row>
    <row r="313" spans="2:6" ht="15.75" thickBot="1" x14ac:dyDescent="0.3">
      <c r="B313" s="999"/>
      <c r="C313" s="64" t="s">
        <v>10</v>
      </c>
      <c r="D313" s="64" t="s">
        <v>11</v>
      </c>
      <c r="E313" s="64" t="s">
        <v>11</v>
      </c>
      <c r="F313" s="64" t="s">
        <v>11</v>
      </c>
    </row>
    <row r="314" spans="2:6" ht="15.75" thickBot="1" x14ac:dyDescent="0.3">
      <c r="B314" s="65" t="s">
        <v>58</v>
      </c>
      <c r="C314" s="164"/>
      <c r="D314" s="164">
        <f>D306</f>
        <v>2150</v>
      </c>
      <c r="E314" s="164"/>
      <c r="F314" s="164"/>
    </row>
    <row r="315" spans="2:6" ht="15.75" thickBot="1" x14ac:dyDescent="0.3">
      <c r="B315" s="65" t="s">
        <v>59</v>
      </c>
      <c r="C315" s="165"/>
      <c r="D315" s="164"/>
      <c r="E315" s="164"/>
      <c r="F315" s="164"/>
    </row>
    <row r="316" spans="2:6" ht="15.75" thickBot="1" x14ac:dyDescent="0.3">
      <c r="B316" s="66" t="s">
        <v>138</v>
      </c>
      <c r="C316" s="165">
        <f>C315+C314</f>
        <v>0</v>
      </c>
      <c r="D316" s="165">
        <f t="shared" ref="D316:F316" si="48">D315+D314</f>
        <v>2150</v>
      </c>
      <c r="E316" s="165">
        <f t="shared" si="48"/>
        <v>0</v>
      </c>
      <c r="F316" s="165">
        <f t="shared" si="48"/>
        <v>0</v>
      </c>
    </row>
    <row r="317" spans="2:6" x14ac:dyDescent="0.25">
      <c r="B317" s="1015" t="s">
        <v>429</v>
      </c>
      <c r="C317" s="1077" t="s">
        <v>430</v>
      </c>
      <c r="D317" s="1078"/>
      <c r="E317" s="1078"/>
      <c r="F317" s="1079"/>
    </row>
    <row r="318" spans="2:6" x14ac:dyDescent="0.25">
      <c r="B318" s="1016"/>
      <c r="C318" s="1080"/>
      <c r="D318" s="1081"/>
      <c r="E318" s="1081"/>
      <c r="F318" s="1082"/>
    </row>
    <row r="319" spans="2:6" ht="15.75" thickBot="1" x14ac:dyDescent="0.3">
      <c r="B319" s="1017"/>
      <c r="C319" s="1083"/>
      <c r="D319" s="1084"/>
      <c r="E319" s="1084"/>
      <c r="F319" s="1085"/>
    </row>
    <row r="320" spans="2:6" ht="15.75" thickBot="1" x14ac:dyDescent="0.3">
      <c r="B320" s="158" t="s">
        <v>67</v>
      </c>
      <c r="C320" s="1000" t="s">
        <v>431</v>
      </c>
      <c r="D320" s="1001"/>
      <c r="E320" s="1001"/>
      <c r="F320" s="1002"/>
    </row>
    <row r="321" spans="2:6" ht="15.75" thickBot="1" x14ac:dyDescent="0.3">
      <c r="B321" s="983" t="s">
        <v>68</v>
      </c>
      <c r="C321" s="984"/>
      <c r="D321" s="984"/>
      <c r="E321" s="984"/>
      <c r="F321" s="985"/>
    </row>
    <row r="322" spans="2:6" ht="15.75" thickBot="1" x14ac:dyDescent="0.3">
      <c r="B322" s="238" t="s">
        <v>432</v>
      </c>
      <c r="C322" s="239">
        <v>0.94</v>
      </c>
      <c r="D322" s="239">
        <v>0.95</v>
      </c>
      <c r="E322" s="239">
        <v>0.96</v>
      </c>
      <c r="F322" s="239">
        <v>0.97</v>
      </c>
    </row>
    <row r="323" spans="2:6" ht="15.75" thickBot="1" x14ac:dyDescent="0.3">
      <c r="B323" s="62" t="s">
        <v>212</v>
      </c>
      <c r="C323" s="157" t="s">
        <v>116</v>
      </c>
      <c r="D323" s="157" t="s">
        <v>117</v>
      </c>
      <c r="E323" s="157" t="s">
        <v>117</v>
      </c>
      <c r="F323" s="157" t="s">
        <v>117</v>
      </c>
    </row>
    <row r="324" spans="2:6" ht="30.75" thickBot="1" x14ac:dyDescent="0.3">
      <c r="B324" s="62" t="s">
        <v>115</v>
      </c>
      <c r="C324" s="157" t="s">
        <v>116</v>
      </c>
      <c r="D324" s="157" t="s">
        <v>117</v>
      </c>
      <c r="E324" s="157" t="s">
        <v>117</v>
      </c>
      <c r="F324" s="157" t="s">
        <v>117</v>
      </c>
    </row>
    <row r="325" spans="2:6" ht="15.75" thickBot="1" x14ac:dyDescent="0.3">
      <c r="B325" s="989" t="s">
        <v>63</v>
      </c>
      <c r="C325" s="990"/>
      <c r="D325" s="990"/>
      <c r="E325" s="990"/>
      <c r="F325" s="991"/>
    </row>
    <row r="326" spans="2:6" ht="15.75" thickBot="1" x14ac:dyDescent="0.3">
      <c r="B326" s="989" t="s">
        <v>56</v>
      </c>
      <c r="C326" s="990"/>
      <c r="D326" s="990"/>
      <c r="E326" s="990"/>
      <c r="F326" s="991"/>
    </row>
    <row r="327" spans="2:6" ht="15.75" thickBot="1" x14ac:dyDescent="0.3">
      <c r="B327" s="242" t="s">
        <v>363</v>
      </c>
      <c r="C327" s="1086" t="s">
        <v>148</v>
      </c>
      <c r="D327" s="1087"/>
      <c r="E327" s="1087"/>
      <c r="F327" s="1088"/>
    </row>
    <row r="328" spans="2:6" ht="15.75" thickBot="1" x14ac:dyDescent="0.3">
      <c r="B328" s="160" t="s">
        <v>364</v>
      </c>
      <c r="C328" s="992" t="s">
        <v>432</v>
      </c>
      <c r="D328" s="993"/>
      <c r="E328" s="993"/>
      <c r="F328" s="994"/>
    </row>
    <row r="329" spans="2:6" ht="15.75" thickBot="1" x14ac:dyDescent="0.3">
      <c r="B329" s="62" t="s">
        <v>17</v>
      </c>
      <c r="C329" s="983" t="s">
        <v>433</v>
      </c>
      <c r="D329" s="984"/>
      <c r="E329" s="984"/>
      <c r="F329" s="985"/>
    </row>
    <row r="330" spans="2:6" ht="15.75" thickBot="1" x14ac:dyDescent="0.3">
      <c r="B330" s="62" t="s">
        <v>18</v>
      </c>
      <c r="C330" s="995" t="s">
        <v>362</v>
      </c>
      <c r="D330" s="996"/>
      <c r="E330" s="996"/>
      <c r="F330" s="997"/>
    </row>
    <row r="331" spans="2:6" x14ac:dyDescent="0.25">
      <c r="B331" s="998"/>
      <c r="C331" s="63">
        <v>2018</v>
      </c>
      <c r="D331" s="63">
        <v>2019</v>
      </c>
      <c r="E331" s="63">
        <v>2020</v>
      </c>
      <c r="F331" s="63">
        <v>2021</v>
      </c>
    </row>
    <row r="332" spans="2:6" ht="15.75" thickBot="1" x14ac:dyDescent="0.3">
      <c r="B332" s="999"/>
      <c r="C332" s="64" t="s">
        <v>10</v>
      </c>
      <c r="D332" s="64" t="s">
        <v>11</v>
      </c>
      <c r="E332" s="64" t="s">
        <v>11</v>
      </c>
      <c r="F332" s="64" t="s">
        <v>11</v>
      </c>
    </row>
    <row r="333" spans="2:6" ht="15.75" thickBot="1" x14ac:dyDescent="0.3">
      <c r="B333" s="62" t="s">
        <v>19</v>
      </c>
      <c r="C333" s="161">
        <v>36</v>
      </c>
      <c r="D333" s="161">
        <v>35</v>
      </c>
      <c r="E333" s="161">
        <v>31</v>
      </c>
      <c r="F333" s="161">
        <v>36</v>
      </c>
    </row>
    <row r="334" spans="2:6" ht="15.75" thickBot="1" x14ac:dyDescent="0.3">
      <c r="B334" s="62" t="s">
        <v>20</v>
      </c>
      <c r="C334" s="161">
        <v>41228</v>
      </c>
      <c r="D334" s="161">
        <v>56280</v>
      </c>
      <c r="E334" s="161">
        <v>25770</v>
      </c>
      <c r="F334" s="161">
        <v>25760</v>
      </c>
    </row>
    <row r="335" spans="2:6" ht="15.75" thickBot="1" x14ac:dyDescent="0.3">
      <c r="B335" s="62" t="s">
        <v>21</v>
      </c>
      <c r="C335" s="161">
        <f>C334/C333</f>
        <v>1145.2222222222222</v>
      </c>
      <c r="D335" s="161">
        <f t="shared" ref="D335:F335" si="49">D334/D333</f>
        <v>1608</v>
      </c>
      <c r="E335" s="161">
        <f t="shared" si="49"/>
        <v>831.29032258064512</v>
      </c>
      <c r="F335" s="161">
        <f t="shared" si="49"/>
        <v>715.55555555555554</v>
      </c>
    </row>
    <row r="336" spans="2:6" ht="15.75" thickBot="1" x14ac:dyDescent="0.3">
      <c r="B336" s="62" t="s">
        <v>22</v>
      </c>
      <c r="C336" s="145" t="s">
        <v>23</v>
      </c>
      <c r="D336" s="162"/>
      <c r="E336" s="162"/>
      <c r="F336" s="162"/>
    </row>
    <row r="337" spans="2:6" ht="15.75" thickBot="1" x14ac:dyDescent="0.3">
      <c r="B337" s="62" t="s">
        <v>24</v>
      </c>
      <c r="C337" s="145" t="s">
        <v>23</v>
      </c>
      <c r="D337" s="162">
        <f>D334/C334-1</f>
        <v>0.36509168526244307</v>
      </c>
      <c r="E337" s="162">
        <f t="shared" ref="E337:F338" si="50">E334/D334-1</f>
        <v>-0.54211087420042636</v>
      </c>
      <c r="F337" s="162">
        <f t="shared" si="50"/>
        <v>-3.8804811796666616E-4</v>
      </c>
    </row>
    <row r="338" spans="2:6" ht="15.75" thickBot="1" x14ac:dyDescent="0.3">
      <c r="B338" s="62" t="s">
        <v>25</v>
      </c>
      <c r="C338" s="145" t="s">
        <v>23</v>
      </c>
      <c r="D338" s="162">
        <f>D335/C335-1</f>
        <v>0.4040943048413701</v>
      </c>
      <c r="E338" s="162">
        <f t="shared" si="50"/>
        <v>-0.48302840635532018</v>
      </c>
      <c r="F338" s="162">
        <f t="shared" si="50"/>
        <v>-0.13922304143491571</v>
      </c>
    </row>
    <row r="339" spans="2:6" ht="15.75" thickBot="1" x14ac:dyDescent="0.3">
      <c r="B339" s="1000" t="s">
        <v>805</v>
      </c>
      <c r="C339" s="1001"/>
      <c r="D339" s="1001"/>
      <c r="E339" s="1001"/>
      <c r="F339" s="1002"/>
    </row>
    <row r="340" spans="2:6" x14ac:dyDescent="0.25">
      <c r="B340" s="998"/>
      <c r="C340" s="63">
        <v>2018</v>
      </c>
      <c r="D340" s="63">
        <v>2019</v>
      </c>
      <c r="E340" s="63">
        <v>2020</v>
      </c>
      <c r="F340" s="63">
        <v>2021</v>
      </c>
    </row>
    <row r="341" spans="2:6" ht="15.75" thickBot="1" x14ac:dyDescent="0.3">
      <c r="B341" s="999"/>
      <c r="C341" s="64" t="s">
        <v>10</v>
      </c>
      <c r="D341" s="64" t="s">
        <v>11</v>
      </c>
      <c r="E341" s="64" t="s">
        <v>11</v>
      </c>
      <c r="F341" s="64" t="s">
        <v>11</v>
      </c>
    </row>
    <row r="342" spans="2:6" ht="15.75" thickBot="1" x14ac:dyDescent="0.3">
      <c r="B342" s="65" t="s">
        <v>58</v>
      </c>
      <c r="C342" s="164"/>
      <c r="D342" s="164"/>
      <c r="E342" s="164"/>
      <c r="F342" s="164"/>
    </row>
    <row r="343" spans="2:6" ht="15.75" thickBot="1" x14ac:dyDescent="0.3">
      <c r="B343" s="65" t="s">
        <v>59</v>
      </c>
      <c r="C343" s="165">
        <f>C334</f>
        <v>41228</v>
      </c>
      <c r="D343" s="165">
        <f t="shared" ref="D343:F343" si="51">D334</f>
        <v>56280</v>
      </c>
      <c r="E343" s="243">
        <f t="shared" si="51"/>
        <v>25770</v>
      </c>
      <c r="F343" s="243">
        <f t="shared" si="51"/>
        <v>25760</v>
      </c>
    </row>
    <row r="344" spans="2:6" ht="15.75" thickBot="1" x14ac:dyDescent="0.3">
      <c r="B344" s="66" t="s">
        <v>367</v>
      </c>
      <c r="C344" s="165">
        <f>C343+C342</f>
        <v>41228</v>
      </c>
      <c r="D344" s="165">
        <f t="shared" ref="D344:F344" si="52">D343+D342</f>
        <v>56280</v>
      </c>
      <c r="E344" s="165">
        <f t="shared" si="52"/>
        <v>25770</v>
      </c>
      <c r="F344" s="165">
        <f t="shared" si="52"/>
        <v>25760</v>
      </c>
    </row>
    <row r="345" spans="2:6" x14ac:dyDescent="0.25">
      <c r="B345" s="1015" t="s">
        <v>368</v>
      </c>
      <c r="C345" s="1077" t="s">
        <v>434</v>
      </c>
      <c r="D345" s="1078"/>
      <c r="E345" s="1078"/>
      <c r="F345" s="1079"/>
    </row>
    <row r="346" spans="2:6" x14ac:dyDescent="0.25">
      <c r="B346" s="1016"/>
      <c r="C346" s="1080"/>
      <c r="D346" s="1081"/>
      <c r="E346" s="1081"/>
      <c r="F346" s="1082"/>
    </row>
    <row r="347" spans="2:6" ht="15.75" thickBot="1" x14ac:dyDescent="0.3">
      <c r="B347" s="1017"/>
      <c r="C347" s="1083"/>
      <c r="D347" s="1084"/>
      <c r="E347" s="1084"/>
      <c r="F347" s="1085"/>
    </row>
    <row r="348" spans="2:6" ht="15.75" thickBot="1" x14ac:dyDescent="0.3">
      <c r="B348" s="175"/>
      <c r="C348" s="176"/>
      <c r="D348" s="176"/>
      <c r="E348" s="176"/>
      <c r="F348" s="176"/>
    </row>
    <row r="349" spans="2:6" ht="30.75" thickBot="1" x14ac:dyDescent="0.3">
      <c r="B349" s="158" t="s">
        <v>82</v>
      </c>
      <c r="C349" s="177">
        <v>2271000</v>
      </c>
      <c r="D349" s="177">
        <v>2259380</v>
      </c>
      <c r="E349" s="177">
        <v>2399250</v>
      </c>
      <c r="F349" s="177">
        <v>2409250</v>
      </c>
    </row>
    <row r="350" spans="2:6" ht="30.75" thickBot="1" x14ac:dyDescent="0.3">
      <c r="B350" s="158" t="s">
        <v>83</v>
      </c>
      <c r="C350" s="177">
        <v>2271000</v>
      </c>
      <c r="D350" s="177">
        <v>2259380</v>
      </c>
      <c r="E350" s="177">
        <v>2399250</v>
      </c>
      <c r="F350" s="177">
        <v>2409250</v>
      </c>
    </row>
    <row r="351" spans="2:6" ht="30.75" thickBot="1" x14ac:dyDescent="0.3">
      <c r="B351" s="178" t="s">
        <v>84</v>
      </c>
      <c r="C351" s="179"/>
      <c r="D351" s="180">
        <v>-5.1166886833994285E-3</v>
      </c>
      <c r="E351" s="180">
        <v>6.1906363692694422E-2</v>
      </c>
      <c r="F351" s="180">
        <v>4.1679691570282174E-3</v>
      </c>
    </row>
    <row r="352" spans="2:6" ht="15.75" thickBot="1" x14ac:dyDescent="0.3">
      <c r="B352" s="65" t="s">
        <v>26</v>
      </c>
      <c r="C352" s="164">
        <v>1431000</v>
      </c>
      <c r="D352" s="164">
        <v>1419500</v>
      </c>
      <c r="E352" s="164">
        <v>1509300</v>
      </c>
      <c r="F352" s="164">
        <v>1505500</v>
      </c>
    </row>
    <row r="353" spans="2:6" ht="15.75" thickBot="1" x14ac:dyDescent="0.3">
      <c r="B353" s="181" t="s">
        <v>85</v>
      </c>
      <c r="C353" s="165"/>
      <c r="D353" s="182">
        <v>-8.0363382250174809E-3</v>
      </c>
      <c r="E353" s="182">
        <v>6.326171187037688E-2</v>
      </c>
      <c r="F353" s="182">
        <v>-2.5177234479559774E-3</v>
      </c>
    </row>
    <row r="354" spans="2:6" ht="30.75" thickBot="1" x14ac:dyDescent="0.3">
      <c r="B354" s="65" t="s">
        <v>28</v>
      </c>
      <c r="C354" s="164">
        <v>265000</v>
      </c>
      <c r="D354" s="164">
        <v>240000</v>
      </c>
      <c r="E354" s="164">
        <v>240000</v>
      </c>
      <c r="F354" s="164">
        <v>240000</v>
      </c>
    </row>
    <row r="355" spans="2:6" ht="30.75" thickBot="1" x14ac:dyDescent="0.3">
      <c r="B355" s="181" t="s">
        <v>86</v>
      </c>
      <c r="C355" s="165"/>
      <c r="D355" s="182">
        <v>-9.4339622641509413E-2</v>
      </c>
      <c r="E355" s="182">
        <v>0</v>
      </c>
      <c r="F355" s="182">
        <v>0</v>
      </c>
    </row>
    <row r="356" spans="2:6" ht="15.75" thickBot="1" x14ac:dyDescent="0.3">
      <c r="B356" s="65" t="s">
        <v>30</v>
      </c>
      <c r="C356" s="164">
        <v>415000</v>
      </c>
      <c r="D356" s="164">
        <v>440500</v>
      </c>
      <c r="E356" s="164">
        <v>450700</v>
      </c>
      <c r="F356" s="164">
        <v>464500</v>
      </c>
    </row>
    <row r="357" spans="2:6" ht="15.75" thickBot="1" x14ac:dyDescent="0.3">
      <c r="B357" s="181" t="s">
        <v>87</v>
      </c>
      <c r="C357" s="165"/>
      <c r="D357" s="182">
        <v>6.144578313253013E-2</v>
      </c>
      <c r="E357" s="182">
        <v>2.3155505107832042E-2</v>
      </c>
      <c r="F357" s="182">
        <v>3.0619037053472464E-2</v>
      </c>
    </row>
    <row r="358" spans="2:6" ht="15.75" thickBot="1" x14ac:dyDescent="0.3">
      <c r="B358" s="65" t="s">
        <v>32</v>
      </c>
      <c r="C358" s="164"/>
      <c r="D358" s="164"/>
      <c r="E358" s="164"/>
      <c r="F358" s="164"/>
    </row>
    <row r="359" spans="2:6" ht="15.75" thickBot="1" x14ac:dyDescent="0.3">
      <c r="B359" s="181" t="s">
        <v>88</v>
      </c>
      <c r="C359" s="165"/>
      <c r="D359" s="182"/>
      <c r="E359" s="182"/>
      <c r="F359" s="182"/>
    </row>
    <row r="360" spans="2:6" ht="15.75" thickBot="1" x14ac:dyDescent="0.3">
      <c r="B360" s="65" t="s">
        <v>34</v>
      </c>
      <c r="C360" s="164"/>
      <c r="D360" s="164"/>
      <c r="E360" s="164"/>
      <c r="F360" s="164"/>
    </row>
    <row r="361" spans="2:6" ht="15.75" thickBot="1" x14ac:dyDescent="0.3">
      <c r="B361" s="181" t="s">
        <v>89</v>
      </c>
      <c r="C361" s="165"/>
      <c r="D361" s="182"/>
      <c r="E361" s="182"/>
      <c r="F361" s="182"/>
    </row>
    <row r="362" spans="2:6" ht="15.75" thickBot="1" x14ac:dyDescent="0.3">
      <c r="B362" s="65" t="s">
        <v>36</v>
      </c>
      <c r="C362" s="164"/>
      <c r="D362" s="164"/>
      <c r="E362" s="164"/>
      <c r="F362" s="164"/>
    </row>
    <row r="363" spans="2:6" ht="15.75" thickBot="1" x14ac:dyDescent="0.3">
      <c r="B363" s="181" t="s">
        <v>90</v>
      </c>
      <c r="C363" s="165"/>
      <c r="D363" s="182"/>
      <c r="E363" s="182"/>
      <c r="F363" s="182"/>
    </row>
    <row r="364" spans="2:6" ht="15.75" thickBot="1" x14ac:dyDescent="0.3">
      <c r="B364" s="65" t="s">
        <v>38</v>
      </c>
      <c r="C364" s="164"/>
      <c r="D364" s="164"/>
      <c r="E364" s="164"/>
      <c r="F364" s="164"/>
    </row>
    <row r="365" spans="2:6" ht="30.75" thickBot="1" x14ac:dyDescent="0.3">
      <c r="B365" s="181" t="s">
        <v>91</v>
      </c>
      <c r="C365" s="165"/>
      <c r="D365" s="182"/>
      <c r="E365" s="182"/>
      <c r="F365" s="182"/>
    </row>
    <row r="366" spans="2:6" ht="15.75" thickBot="1" x14ac:dyDescent="0.3">
      <c r="B366" s="65" t="s">
        <v>92</v>
      </c>
      <c r="C366" s="164">
        <v>0</v>
      </c>
      <c r="D366" s="164">
        <v>2150</v>
      </c>
      <c r="E366" s="164">
        <v>80810</v>
      </c>
      <c r="F366" s="164">
        <v>61740</v>
      </c>
    </row>
    <row r="367" spans="2:6" ht="15.75" thickBot="1" x14ac:dyDescent="0.3">
      <c r="B367" s="181" t="s">
        <v>93</v>
      </c>
      <c r="C367" s="165"/>
      <c r="D367" s="182"/>
      <c r="E367" s="182">
        <v>36.586046511627906</v>
      </c>
      <c r="F367" s="182">
        <v>-0.23598564534092314</v>
      </c>
    </row>
    <row r="368" spans="2:6" ht="15.75" thickBot="1" x14ac:dyDescent="0.3">
      <c r="B368" s="65" t="s">
        <v>94</v>
      </c>
      <c r="C368" s="164">
        <v>160000</v>
      </c>
      <c r="D368" s="164">
        <v>157230</v>
      </c>
      <c r="E368" s="164">
        <v>118440</v>
      </c>
      <c r="F368" s="164">
        <v>137510</v>
      </c>
    </row>
    <row r="369" spans="2:6" ht="15.75" thickBot="1" x14ac:dyDescent="0.3">
      <c r="B369" s="181" t="s">
        <v>95</v>
      </c>
      <c r="C369" s="165"/>
      <c r="D369" s="182">
        <v>-1.7312499999999953E-2</v>
      </c>
      <c r="E369" s="182">
        <v>-0.24670864338866627</v>
      </c>
      <c r="F369" s="182">
        <v>0.16100979398851734</v>
      </c>
    </row>
    <row r="370" spans="2:6" ht="15.75" thickBot="1" x14ac:dyDescent="0.3">
      <c r="B370" s="166" t="s">
        <v>41</v>
      </c>
      <c r="C370" s="167">
        <v>0</v>
      </c>
      <c r="D370" s="167">
        <v>0</v>
      </c>
      <c r="E370" s="167">
        <v>0</v>
      </c>
      <c r="F370" s="167">
        <v>0</v>
      </c>
    </row>
    <row r="371" spans="2:6" ht="30.75" thickBot="1" x14ac:dyDescent="0.3">
      <c r="B371" s="183" t="s">
        <v>96</v>
      </c>
      <c r="C371" s="164">
        <v>1348</v>
      </c>
      <c r="D371" s="164">
        <v>1431</v>
      </c>
      <c r="E371" s="164">
        <v>1431</v>
      </c>
      <c r="F371" s="164">
        <v>1431</v>
      </c>
    </row>
    <row r="372" spans="2:6" ht="30.75" thickBot="1" x14ac:dyDescent="0.3">
      <c r="B372" s="183" t="s">
        <v>97</v>
      </c>
      <c r="C372" s="164">
        <v>72</v>
      </c>
      <c r="D372" s="164" t="s">
        <v>23</v>
      </c>
      <c r="E372" s="164" t="s">
        <v>23</v>
      </c>
      <c r="F372" s="164" t="s">
        <v>23</v>
      </c>
    </row>
  </sheetData>
  <mergeCells count="144">
    <mergeCell ref="B18:F18"/>
    <mergeCell ref="B2:F2"/>
    <mergeCell ref="C4:F4"/>
    <mergeCell ref="C5:F5"/>
    <mergeCell ref="C6:F6"/>
    <mergeCell ref="B7:F7"/>
    <mergeCell ref="B8:F10"/>
    <mergeCell ref="C11:F11"/>
    <mergeCell ref="B12:B13"/>
    <mergeCell ref="C15:F15"/>
    <mergeCell ref="B16:F16"/>
    <mergeCell ref="C50:F50"/>
    <mergeCell ref="B51:B52"/>
    <mergeCell ref="B59:F59"/>
    <mergeCell ref="B60:B61"/>
    <mergeCell ref="B65:B67"/>
    <mergeCell ref="C65:F67"/>
    <mergeCell ref="C49:F49"/>
    <mergeCell ref="B19:F19"/>
    <mergeCell ref="C20:F20"/>
    <mergeCell ref="C21:F21"/>
    <mergeCell ref="C22:F22"/>
    <mergeCell ref="B23:B24"/>
    <mergeCell ref="B31:F31"/>
    <mergeCell ref="B32:B33"/>
    <mergeCell ref="B43:F43"/>
    <mergeCell ref="B44:F44"/>
    <mergeCell ref="C47:F47"/>
    <mergeCell ref="C48:F48"/>
    <mergeCell ref="C105:F105"/>
    <mergeCell ref="C106:F106"/>
    <mergeCell ref="C107:F107"/>
    <mergeCell ref="B108:F108"/>
    <mergeCell ref="B109:F111"/>
    <mergeCell ref="B100:F100"/>
    <mergeCell ref="B101:F101"/>
    <mergeCell ref="B102:F102"/>
    <mergeCell ref="B96:F96"/>
    <mergeCell ref="B97:F97"/>
    <mergeCell ref="B98:F98"/>
    <mergeCell ref="B99:F99"/>
    <mergeCell ref="B122:F122"/>
    <mergeCell ref="C123:F123"/>
    <mergeCell ref="C124:F124"/>
    <mergeCell ref="C125:F125"/>
    <mergeCell ref="B126:B127"/>
    <mergeCell ref="C112:F112"/>
    <mergeCell ref="B113:B114"/>
    <mergeCell ref="C116:F116"/>
    <mergeCell ref="B117:F117"/>
    <mergeCell ref="B121:F121"/>
    <mergeCell ref="C149:F149"/>
    <mergeCell ref="C150:F150"/>
    <mergeCell ref="C151:F151"/>
    <mergeCell ref="B152:B153"/>
    <mergeCell ref="B160:F160"/>
    <mergeCell ref="B134:F134"/>
    <mergeCell ref="B135:B136"/>
    <mergeCell ref="B146:F146"/>
    <mergeCell ref="B147:F147"/>
    <mergeCell ref="C148:F148"/>
    <mergeCell ref="C171:F171"/>
    <mergeCell ref="C172:F172"/>
    <mergeCell ref="B173:B174"/>
    <mergeCell ref="B181:F181"/>
    <mergeCell ref="B182:B183"/>
    <mergeCell ref="B161:B162"/>
    <mergeCell ref="B166:B168"/>
    <mergeCell ref="C166:F168"/>
    <mergeCell ref="C169:F169"/>
    <mergeCell ref="C170:F170"/>
    <mergeCell ref="C193:F193"/>
    <mergeCell ref="C194:F194"/>
    <mergeCell ref="C195:F195"/>
    <mergeCell ref="B196:B197"/>
    <mergeCell ref="B204:F204"/>
    <mergeCell ref="B187:B189"/>
    <mergeCell ref="C187:F189"/>
    <mergeCell ref="B190:F190"/>
    <mergeCell ref="B191:F191"/>
    <mergeCell ref="C192:F192"/>
    <mergeCell ref="C215:F215"/>
    <mergeCell ref="C216:F216"/>
    <mergeCell ref="B217:B218"/>
    <mergeCell ref="B225:F225"/>
    <mergeCell ref="B226:B227"/>
    <mergeCell ref="B205:B206"/>
    <mergeCell ref="B210:B212"/>
    <mergeCell ref="C210:F212"/>
    <mergeCell ref="C213:F213"/>
    <mergeCell ref="C214:F214"/>
    <mergeCell ref="C237:F237"/>
    <mergeCell ref="B238:B239"/>
    <mergeCell ref="B246:F246"/>
    <mergeCell ref="B247:B248"/>
    <mergeCell ref="B252:B254"/>
    <mergeCell ref="C252:F254"/>
    <mergeCell ref="B231:B233"/>
    <mergeCell ref="C231:F233"/>
    <mergeCell ref="C234:F234"/>
    <mergeCell ref="C235:F235"/>
    <mergeCell ref="C236:F236"/>
    <mergeCell ref="B267:F267"/>
    <mergeCell ref="B268:B269"/>
    <mergeCell ref="B273:B275"/>
    <mergeCell ref="C273:F275"/>
    <mergeCell ref="B276:F276"/>
    <mergeCell ref="C255:F255"/>
    <mergeCell ref="C256:F256"/>
    <mergeCell ref="C257:F257"/>
    <mergeCell ref="C258:F258"/>
    <mergeCell ref="B259:B260"/>
    <mergeCell ref="B282:B283"/>
    <mergeCell ref="B290:F290"/>
    <mergeCell ref="B291:B292"/>
    <mergeCell ref="B296:B298"/>
    <mergeCell ref="C296:F298"/>
    <mergeCell ref="B277:F277"/>
    <mergeCell ref="C278:F278"/>
    <mergeCell ref="C279:F279"/>
    <mergeCell ref="C280:F280"/>
    <mergeCell ref="C281:F281"/>
    <mergeCell ref="B311:F311"/>
    <mergeCell ref="B312:B313"/>
    <mergeCell ref="B317:B319"/>
    <mergeCell ref="C317:F319"/>
    <mergeCell ref="C320:F320"/>
    <mergeCell ref="C299:F299"/>
    <mergeCell ref="C300:F300"/>
    <mergeCell ref="C301:F301"/>
    <mergeCell ref="C302:F302"/>
    <mergeCell ref="B303:B304"/>
    <mergeCell ref="B345:B347"/>
    <mergeCell ref="C345:F347"/>
    <mergeCell ref="C329:F329"/>
    <mergeCell ref="C330:F330"/>
    <mergeCell ref="B331:B332"/>
    <mergeCell ref="B339:F339"/>
    <mergeCell ref="B340:B341"/>
    <mergeCell ref="B321:F321"/>
    <mergeCell ref="B325:F325"/>
    <mergeCell ref="B326:F326"/>
    <mergeCell ref="C327:F327"/>
    <mergeCell ref="C328:F328"/>
  </mergeCells>
  <printOptions horizontalCentered="1" verticalCentered="1"/>
  <pageMargins left="0.7" right="0.7" top="0.75" bottom="0.75" header="0.3" footer="0.3"/>
  <pageSetup scale="57" orientation="portrait" r:id="rId1"/>
  <rowBreaks count="1" manualBreakCount="1">
    <brk id="4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378"/>
  <sheetViews>
    <sheetView topLeftCell="A340" zoomScale="120" zoomScaleNormal="120" zoomScaleSheetLayoutView="100" workbookViewId="0">
      <selection activeCell="M11" sqref="M11"/>
    </sheetView>
  </sheetViews>
  <sheetFormatPr defaultRowHeight="15" x14ac:dyDescent="0.25"/>
  <cols>
    <col min="2" max="2" width="37.28515625" customWidth="1"/>
    <col min="3" max="3" width="14.7109375" customWidth="1"/>
    <col min="4" max="4" width="15.42578125" customWidth="1"/>
    <col min="5" max="5" width="15.7109375" customWidth="1"/>
    <col min="6" max="6" width="18.28515625" customWidth="1"/>
    <col min="7" max="7" width="11" customWidth="1"/>
    <col min="8" max="8" width="11" bestFit="1" customWidth="1"/>
  </cols>
  <sheetData>
    <row r="2" spans="2:6" ht="18" customHeight="1" x14ac:dyDescent="0.25">
      <c r="B2" s="1159" t="s">
        <v>0</v>
      </c>
      <c r="C2" s="1159"/>
      <c r="D2" s="1159"/>
      <c r="E2" s="1159"/>
      <c r="F2" s="1159"/>
    </row>
    <row r="3" spans="2:6" ht="15.75" thickBot="1" x14ac:dyDescent="0.3"/>
    <row r="4" spans="2:6" ht="16.5" thickBot="1" x14ac:dyDescent="0.3">
      <c r="B4" s="36" t="s">
        <v>2</v>
      </c>
      <c r="C4" s="1160" t="s">
        <v>152</v>
      </c>
      <c r="D4" s="1160"/>
      <c r="E4" s="1160"/>
      <c r="F4" s="1160"/>
    </row>
    <row r="5" spans="2:6" ht="16.5" thickBot="1" x14ac:dyDescent="0.3">
      <c r="B5" s="36" t="s">
        <v>3</v>
      </c>
      <c r="C5" s="1161" t="s">
        <v>153</v>
      </c>
      <c r="D5" s="1162"/>
      <c r="E5" s="1162"/>
      <c r="F5" s="1163"/>
    </row>
    <row r="6" spans="2:6" ht="16.5" thickBot="1" x14ac:dyDescent="0.3">
      <c r="B6" s="36" t="s">
        <v>5</v>
      </c>
      <c r="C6" s="1133" t="s">
        <v>6</v>
      </c>
      <c r="D6" s="1134"/>
      <c r="E6" s="1134"/>
      <c r="F6" s="1135"/>
    </row>
    <row r="7" spans="2:6" ht="16.5" thickBot="1" x14ac:dyDescent="0.3">
      <c r="B7" s="1164" t="s">
        <v>7</v>
      </c>
      <c r="C7" s="1165"/>
      <c r="D7" s="1165"/>
      <c r="E7" s="1165"/>
      <c r="F7" s="1166"/>
    </row>
    <row r="8" spans="2:6" ht="14.45" customHeight="1" x14ac:dyDescent="0.25">
      <c r="B8" s="1150" t="s">
        <v>154</v>
      </c>
      <c r="C8" s="1151"/>
      <c r="D8" s="1151"/>
      <c r="E8" s="1151"/>
      <c r="F8" s="1152"/>
    </row>
    <row r="9" spans="2:6" ht="31.5" customHeight="1" x14ac:dyDescent="0.25">
      <c r="B9" s="1153"/>
      <c r="C9" s="1154"/>
      <c r="D9" s="1154"/>
      <c r="E9" s="1154"/>
      <c r="F9" s="1155"/>
    </row>
    <row r="10" spans="2:6" ht="20.25" customHeight="1" thickBot="1" x14ac:dyDescent="0.3">
      <c r="B10" s="1156"/>
      <c r="C10" s="1157"/>
      <c r="D10" s="1157"/>
      <c r="E10" s="1157"/>
      <c r="F10" s="1158"/>
    </row>
    <row r="11" spans="2:6" ht="172.9" customHeight="1" thickBot="1" x14ac:dyDescent="0.3">
      <c r="B11" s="37" t="s">
        <v>8</v>
      </c>
      <c r="C11" s="1115" t="s">
        <v>155</v>
      </c>
      <c r="D11" s="1131"/>
      <c r="E11" s="1131"/>
      <c r="F11" s="1132"/>
    </row>
    <row r="12" spans="2:6" ht="23.25" customHeight="1" x14ac:dyDescent="0.25">
      <c r="B12" s="1113" t="s">
        <v>102</v>
      </c>
      <c r="C12" s="38">
        <v>2018</v>
      </c>
      <c r="D12" s="38">
        <v>2019</v>
      </c>
      <c r="E12" s="38">
        <v>2020</v>
      </c>
      <c r="F12" s="38">
        <v>2021</v>
      </c>
    </row>
    <row r="13" spans="2:6" ht="23.45" customHeight="1" thickBot="1" x14ac:dyDescent="0.3">
      <c r="B13" s="1114"/>
      <c r="C13" s="39" t="s">
        <v>10</v>
      </c>
      <c r="D13" s="39" t="s">
        <v>11</v>
      </c>
      <c r="E13" s="39" t="s">
        <v>11</v>
      </c>
      <c r="F13" s="39" t="s">
        <v>11</v>
      </c>
    </row>
    <row r="14" spans="2:6" ht="61.9" customHeight="1" thickBot="1" x14ac:dyDescent="0.3">
      <c r="B14" s="71" t="s">
        <v>156</v>
      </c>
      <c r="C14" s="41">
        <v>0.9</v>
      </c>
      <c r="D14" s="41">
        <v>0.95</v>
      </c>
      <c r="E14" s="41">
        <v>0.98</v>
      </c>
      <c r="F14" s="41">
        <v>0.98</v>
      </c>
    </row>
    <row r="15" spans="2:6" ht="54.6" customHeight="1" thickBot="1" x14ac:dyDescent="0.3">
      <c r="B15" s="40" t="s">
        <v>157</v>
      </c>
      <c r="C15" s="41">
        <v>0.6</v>
      </c>
      <c r="D15" s="41">
        <v>0.7</v>
      </c>
      <c r="E15" s="41">
        <v>0.7</v>
      </c>
      <c r="F15" s="41">
        <v>0.8</v>
      </c>
    </row>
    <row r="16" spans="2:6" ht="46.15" customHeight="1" thickBot="1" x14ac:dyDescent="0.3">
      <c r="B16" s="40" t="s">
        <v>158</v>
      </c>
      <c r="C16" s="41">
        <v>0.7</v>
      </c>
      <c r="D16" s="41">
        <v>0.7</v>
      </c>
      <c r="E16" s="41">
        <v>0.7</v>
      </c>
      <c r="F16" s="41">
        <v>0.7</v>
      </c>
    </row>
    <row r="17" spans="2:10" ht="48.6" customHeight="1" thickBot="1" x14ac:dyDescent="0.3">
      <c r="B17" s="40" t="s">
        <v>159</v>
      </c>
      <c r="C17" s="41">
        <v>0.95</v>
      </c>
      <c r="D17" s="41">
        <v>1</v>
      </c>
      <c r="E17" s="41">
        <v>1</v>
      </c>
      <c r="F17" s="41">
        <v>1</v>
      </c>
    </row>
    <row r="18" spans="2:10" ht="63.75" thickBot="1" x14ac:dyDescent="0.3">
      <c r="B18" s="40" t="s">
        <v>160</v>
      </c>
      <c r="C18" s="41">
        <v>0.95</v>
      </c>
      <c r="D18" s="41">
        <v>1</v>
      </c>
      <c r="E18" s="41">
        <v>1</v>
      </c>
      <c r="F18" s="41">
        <v>1</v>
      </c>
    </row>
    <row r="19" spans="2:10" ht="23.25" customHeight="1" thickBot="1" x14ac:dyDescent="0.3">
      <c r="B19" s="6" t="s">
        <v>12</v>
      </c>
      <c r="C19" s="1115" t="s">
        <v>161</v>
      </c>
      <c r="D19" s="1116"/>
      <c r="E19" s="1116"/>
      <c r="F19" s="1117"/>
      <c r="G19" s="35"/>
      <c r="I19" s="35"/>
    </row>
    <row r="20" spans="2:10" ht="16.5" thickBot="1" x14ac:dyDescent="0.3">
      <c r="B20" s="1133" t="s">
        <v>103</v>
      </c>
      <c r="C20" s="1134"/>
      <c r="D20" s="1134"/>
      <c r="E20" s="1134"/>
      <c r="F20" s="1135"/>
    </row>
    <row r="21" spans="2:10" ht="16.5" thickBot="1" x14ac:dyDescent="0.3">
      <c r="B21" s="71" t="s">
        <v>162</v>
      </c>
      <c r="C21" s="41">
        <v>0.9</v>
      </c>
      <c r="D21" s="41">
        <v>0.95</v>
      </c>
      <c r="E21" s="41">
        <v>0.98</v>
      </c>
      <c r="F21" s="41">
        <v>0.98</v>
      </c>
    </row>
    <row r="22" spans="2:10" ht="16.5" thickBot="1" x14ac:dyDescent="0.3">
      <c r="B22" s="1127" t="s">
        <v>14</v>
      </c>
      <c r="C22" s="1128"/>
      <c r="D22" s="1128"/>
      <c r="E22" s="1128"/>
      <c r="F22" s="1129"/>
    </row>
    <row r="23" spans="2:10" ht="16.5" thickBot="1" x14ac:dyDescent="0.3">
      <c r="B23" s="1127" t="s">
        <v>104</v>
      </c>
      <c r="C23" s="1128"/>
      <c r="D23" s="1128"/>
      <c r="E23" s="1128"/>
      <c r="F23" s="1129"/>
    </row>
    <row r="24" spans="2:10" ht="32.450000000000003" customHeight="1" thickBot="1" x14ac:dyDescent="0.3">
      <c r="B24" s="43" t="s">
        <v>163</v>
      </c>
      <c r="C24" s="1130" t="s">
        <v>164</v>
      </c>
      <c r="D24" s="1131"/>
      <c r="E24" s="1131"/>
      <c r="F24" s="1132"/>
    </row>
    <row r="25" spans="2:10" ht="34.9" customHeight="1" thickBot="1" x14ac:dyDescent="0.3">
      <c r="B25" s="62" t="s">
        <v>17</v>
      </c>
      <c r="C25" s="1133" t="s">
        <v>165</v>
      </c>
      <c r="D25" s="1134"/>
      <c r="E25" s="1134"/>
      <c r="F25" s="1135"/>
    </row>
    <row r="26" spans="2:10" ht="14.45" customHeight="1" thickBot="1" x14ac:dyDescent="0.3">
      <c r="B26" s="62" t="s">
        <v>18</v>
      </c>
      <c r="C26" s="1121" t="s">
        <v>166</v>
      </c>
      <c r="D26" s="1122"/>
      <c r="E26" s="1122"/>
      <c r="F26" s="1123"/>
    </row>
    <row r="27" spans="2:10" ht="15.6" customHeight="1" x14ac:dyDescent="0.25">
      <c r="B27" s="998"/>
      <c r="C27" s="44">
        <v>2018</v>
      </c>
      <c r="D27" s="44">
        <v>2019</v>
      </c>
      <c r="E27" s="44">
        <v>2020</v>
      </c>
      <c r="F27" s="44">
        <v>2021</v>
      </c>
    </row>
    <row r="28" spans="2:10" ht="21.6" customHeight="1" thickBot="1" x14ac:dyDescent="0.3">
      <c r="B28" s="999"/>
      <c r="C28" s="45" t="s">
        <v>10</v>
      </c>
      <c r="D28" s="45" t="s">
        <v>11</v>
      </c>
      <c r="E28" s="45" t="s">
        <v>11</v>
      </c>
      <c r="F28" s="45" t="s">
        <v>11</v>
      </c>
    </row>
    <row r="29" spans="2:10" ht="16.5" thickBot="1" x14ac:dyDescent="0.3">
      <c r="B29" s="62" t="s">
        <v>19</v>
      </c>
      <c r="C29" s="48">
        <v>250</v>
      </c>
      <c r="D29" s="48">
        <v>350</v>
      </c>
      <c r="E29" s="48">
        <v>350</v>
      </c>
      <c r="F29" s="48">
        <v>400</v>
      </c>
    </row>
    <row r="30" spans="2:10" ht="20.45" customHeight="1" thickBot="1" x14ac:dyDescent="0.3">
      <c r="B30" s="62" t="s">
        <v>20</v>
      </c>
      <c r="C30" s="48">
        <v>60500</v>
      </c>
      <c r="D30" s="48">
        <v>66000</v>
      </c>
      <c r="E30" s="48">
        <v>66000</v>
      </c>
      <c r="F30" s="48">
        <v>66000</v>
      </c>
    </row>
    <row r="31" spans="2:10" ht="18.600000000000001" customHeight="1" thickBot="1" x14ac:dyDescent="0.3">
      <c r="B31" s="62" t="s">
        <v>21</v>
      </c>
      <c r="C31" s="48">
        <f>C30/C29</f>
        <v>242</v>
      </c>
      <c r="D31" s="48">
        <f t="shared" ref="D31:F31" si="0">D30/D29</f>
        <v>188.57142857142858</v>
      </c>
      <c r="E31" s="48">
        <f t="shared" si="0"/>
        <v>188.57142857142858</v>
      </c>
      <c r="F31" s="48">
        <f t="shared" si="0"/>
        <v>165</v>
      </c>
      <c r="G31" s="12"/>
      <c r="H31" s="12"/>
      <c r="I31" s="12"/>
      <c r="J31" s="12"/>
    </row>
    <row r="32" spans="2:10" ht="18.600000000000001" customHeight="1" thickBot="1" x14ac:dyDescent="0.3">
      <c r="B32" s="62" t="s">
        <v>22</v>
      </c>
      <c r="C32" s="70" t="s">
        <v>23</v>
      </c>
      <c r="D32" s="49">
        <f>D29/C29-1</f>
        <v>0.39999999999999991</v>
      </c>
      <c r="E32" s="49">
        <f t="shared" ref="E32:F34" si="1">E29/D29-1</f>
        <v>0</v>
      </c>
      <c r="F32" s="49">
        <f t="shared" si="1"/>
        <v>0.14285714285714279</v>
      </c>
    </row>
    <row r="33" spans="2:10" ht="16.5" thickBot="1" x14ac:dyDescent="0.3">
      <c r="B33" s="62" t="s">
        <v>24</v>
      </c>
      <c r="C33" s="70" t="s">
        <v>23</v>
      </c>
      <c r="D33" s="49">
        <f>D30/C30-1</f>
        <v>9.0909090909090828E-2</v>
      </c>
      <c r="E33" s="49">
        <f t="shared" si="1"/>
        <v>0</v>
      </c>
      <c r="F33" s="49">
        <f t="shared" si="1"/>
        <v>0</v>
      </c>
    </row>
    <row r="34" spans="2:10" ht="20.45" customHeight="1" thickBot="1" x14ac:dyDescent="0.3">
      <c r="B34" s="62" t="s">
        <v>25</v>
      </c>
      <c r="C34" s="70" t="s">
        <v>23</v>
      </c>
      <c r="D34" s="49">
        <f>D31/C31-1</f>
        <v>-0.22077922077922074</v>
      </c>
      <c r="E34" s="49">
        <f t="shared" si="1"/>
        <v>0</v>
      </c>
      <c r="F34" s="49">
        <f t="shared" si="1"/>
        <v>-0.12500000000000011</v>
      </c>
    </row>
    <row r="35" spans="2:10" ht="17.45" customHeight="1" thickBot="1" x14ac:dyDescent="0.3">
      <c r="B35" s="1124" t="s">
        <v>167</v>
      </c>
      <c r="C35" s="1125"/>
      <c r="D35" s="1125"/>
      <c r="E35" s="1125"/>
      <c r="F35" s="1126"/>
    </row>
    <row r="36" spans="2:10" ht="17.45" customHeight="1" x14ac:dyDescent="0.25">
      <c r="B36" s="998"/>
      <c r="C36" s="44">
        <v>2018</v>
      </c>
      <c r="D36" s="44">
        <v>2019</v>
      </c>
      <c r="E36" s="44">
        <v>2020</v>
      </c>
      <c r="F36" s="44">
        <v>2021</v>
      </c>
    </row>
    <row r="37" spans="2:10" ht="16.5" thickBot="1" x14ac:dyDescent="0.3">
      <c r="B37" s="999"/>
      <c r="C37" s="45" t="s">
        <v>10</v>
      </c>
      <c r="D37" s="45" t="s">
        <v>11</v>
      </c>
      <c r="E37" s="45" t="s">
        <v>11</v>
      </c>
      <c r="F37" s="45" t="s">
        <v>11</v>
      </c>
    </row>
    <row r="38" spans="2:10" ht="16.5" thickBot="1" x14ac:dyDescent="0.3">
      <c r="B38" s="78" t="s">
        <v>26</v>
      </c>
      <c r="C38" s="51">
        <v>48300</v>
      </c>
      <c r="D38" s="51">
        <v>53500</v>
      </c>
      <c r="E38" s="51">
        <v>53500</v>
      </c>
      <c r="F38" s="51">
        <v>53500</v>
      </c>
    </row>
    <row r="39" spans="2:10" ht="16.5" thickBot="1" x14ac:dyDescent="0.3">
      <c r="B39" s="78" t="s">
        <v>28</v>
      </c>
      <c r="C39" s="51">
        <v>5700</v>
      </c>
      <c r="D39" s="51">
        <v>6000</v>
      </c>
      <c r="E39" s="51">
        <v>6000</v>
      </c>
      <c r="F39" s="51">
        <v>6000</v>
      </c>
    </row>
    <row r="40" spans="2:10" ht="16.5" thickBot="1" x14ac:dyDescent="0.3">
      <c r="B40" s="78" t="s">
        <v>30</v>
      </c>
      <c r="C40" s="53">
        <v>6000</v>
      </c>
      <c r="D40" s="51">
        <v>6000</v>
      </c>
      <c r="E40" s="51">
        <v>6000</v>
      </c>
      <c r="F40" s="51">
        <v>6000</v>
      </c>
    </row>
    <row r="41" spans="2:10" ht="16.5" thickBot="1" x14ac:dyDescent="0.3">
      <c r="B41" s="78" t="s">
        <v>32</v>
      </c>
      <c r="C41" s="53"/>
      <c r="D41" s="51"/>
      <c r="E41" s="51"/>
      <c r="F41" s="51"/>
    </row>
    <row r="42" spans="2:10" ht="16.5" thickBot="1" x14ac:dyDescent="0.3">
      <c r="B42" s="78" t="s">
        <v>34</v>
      </c>
      <c r="C42" s="53"/>
      <c r="D42" s="51"/>
      <c r="E42" s="51"/>
      <c r="F42" s="51"/>
    </row>
    <row r="43" spans="2:10" ht="16.5" thickBot="1" x14ac:dyDescent="0.3">
      <c r="B43" s="78" t="s">
        <v>36</v>
      </c>
      <c r="C43" s="53">
        <v>500</v>
      </c>
      <c r="D43" s="51">
        <v>500</v>
      </c>
      <c r="E43" s="51">
        <v>500</v>
      </c>
      <c r="F43" s="51">
        <v>500</v>
      </c>
    </row>
    <row r="44" spans="2:10" ht="16.5" thickBot="1" x14ac:dyDescent="0.3">
      <c r="B44" s="78" t="s">
        <v>38</v>
      </c>
      <c r="C44" s="53"/>
      <c r="D44" s="51"/>
      <c r="E44" s="51"/>
      <c r="F44" s="51"/>
    </row>
    <row r="45" spans="2:10" ht="16.5" thickBot="1" x14ac:dyDescent="0.3">
      <c r="B45" s="52" t="s">
        <v>133</v>
      </c>
      <c r="C45" s="53">
        <f>C44+C43+C42+C41+C40+C39+C38</f>
        <v>60500</v>
      </c>
      <c r="D45" s="53">
        <f>D44+D43+D42+D41+D40+D39+D38</f>
        <v>66000</v>
      </c>
      <c r="E45" s="53">
        <f>E44+E43+E42+E41+E40+E39+E38</f>
        <v>66000</v>
      </c>
      <c r="F45" s="53">
        <f>F44+F43+F42+F41+F40+F39+F38</f>
        <v>66000</v>
      </c>
    </row>
    <row r="46" spans="2:10" ht="16.5" thickBot="1" x14ac:dyDescent="0.3">
      <c r="B46" s="46" t="s">
        <v>41</v>
      </c>
      <c r="C46" s="47">
        <f>IF(C45-C30=0,0,"Error")</f>
        <v>0</v>
      </c>
      <c r="D46" s="47">
        <f>IF(D45-D30=0,0,"Error")</f>
        <v>0</v>
      </c>
      <c r="E46" s="47">
        <f>IF(E45-E30=0,0,"Error")</f>
        <v>0</v>
      </c>
      <c r="F46" s="47">
        <f>IF(F45-F30=0,0,"Error")</f>
        <v>0</v>
      </c>
    </row>
    <row r="47" spans="2:10" ht="16.5" thickBot="1" x14ac:dyDescent="0.3">
      <c r="B47" s="1127" t="s">
        <v>63</v>
      </c>
      <c r="C47" s="1128"/>
      <c r="D47" s="1128"/>
      <c r="E47" s="1128"/>
      <c r="F47" s="1129"/>
      <c r="G47" s="12"/>
      <c r="H47" s="12"/>
      <c r="I47" s="12"/>
      <c r="J47" s="12"/>
    </row>
    <row r="48" spans="2:10" ht="16.5" thickBot="1" x14ac:dyDescent="0.3">
      <c r="B48" s="1127" t="s">
        <v>56</v>
      </c>
      <c r="C48" s="1128"/>
      <c r="D48" s="1128"/>
      <c r="E48" s="1128"/>
      <c r="F48" s="1129"/>
    </row>
    <row r="49" spans="2:6" ht="25.15" customHeight="1" thickBot="1" x14ac:dyDescent="0.3">
      <c r="B49" s="67" t="s">
        <v>168</v>
      </c>
      <c r="C49" s="1141"/>
      <c r="D49" s="1142"/>
      <c r="E49" s="1142"/>
      <c r="F49" s="1143"/>
    </row>
    <row r="50" spans="2:6" ht="31.9" customHeight="1" thickBot="1" x14ac:dyDescent="0.3">
      <c r="B50" s="43" t="s">
        <v>132</v>
      </c>
      <c r="C50" s="1130" t="s">
        <v>164</v>
      </c>
      <c r="D50" s="1131"/>
      <c r="E50" s="1131"/>
      <c r="F50" s="1132"/>
    </row>
    <row r="51" spans="2:6" ht="33" customHeight="1" thickBot="1" x14ac:dyDescent="0.3">
      <c r="B51" s="62" t="s">
        <v>17</v>
      </c>
      <c r="C51" s="1133" t="s">
        <v>165</v>
      </c>
      <c r="D51" s="1134"/>
      <c r="E51" s="1134"/>
      <c r="F51" s="1135"/>
    </row>
    <row r="52" spans="2:6" ht="20.45" customHeight="1" thickBot="1" x14ac:dyDescent="0.3">
      <c r="B52" s="62" t="s">
        <v>18</v>
      </c>
      <c r="C52" s="1121" t="s">
        <v>166</v>
      </c>
      <c r="D52" s="1122"/>
      <c r="E52" s="1122"/>
      <c r="F52" s="1123"/>
    </row>
    <row r="53" spans="2:6" x14ac:dyDescent="0.25">
      <c r="B53" s="998"/>
      <c r="C53" s="63">
        <v>2018</v>
      </c>
      <c r="D53" s="63">
        <v>2019</v>
      </c>
      <c r="E53" s="63">
        <v>2020</v>
      </c>
      <c r="F53" s="63">
        <v>2021</v>
      </c>
    </row>
    <row r="54" spans="2:6" ht="15.75" thickBot="1" x14ac:dyDescent="0.3">
      <c r="B54" s="999"/>
      <c r="C54" s="64" t="s">
        <v>10</v>
      </c>
      <c r="D54" s="64" t="s">
        <v>11</v>
      </c>
      <c r="E54" s="64" t="s">
        <v>11</v>
      </c>
      <c r="F54" s="64" t="s">
        <v>11</v>
      </c>
    </row>
    <row r="55" spans="2:6" ht="16.5" thickBot="1" x14ac:dyDescent="0.3">
      <c r="B55" s="62" t="s">
        <v>19</v>
      </c>
      <c r="C55" s="48"/>
      <c r="D55" s="48"/>
      <c r="E55" s="48"/>
      <c r="F55" s="48"/>
    </row>
    <row r="56" spans="2:6" ht="27" customHeight="1" thickBot="1" x14ac:dyDescent="0.3">
      <c r="B56" s="62" t="s">
        <v>20</v>
      </c>
      <c r="C56" s="48"/>
      <c r="D56" s="48"/>
      <c r="E56" s="48"/>
      <c r="F56" s="48"/>
    </row>
    <row r="57" spans="2:6" ht="18.600000000000001" customHeight="1" thickBot="1" x14ac:dyDescent="0.3">
      <c r="B57" s="62" t="s">
        <v>21</v>
      </c>
      <c r="C57" s="48" t="e">
        <f>C56/C55</f>
        <v>#DIV/0!</v>
      </c>
      <c r="D57" s="48" t="e">
        <f t="shared" ref="D57:F57" si="2">D56/D55</f>
        <v>#DIV/0!</v>
      </c>
      <c r="E57" s="48" t="e">
        <f t="shared" si="2"/>
        <v>#DIV/0!</v>
      </c>
      <c r="F57" s="48" t="e">
        <f t="shared" si="2"/>
        <v>#DIV/0!</v>
      </c>
    </row>
    <row r="58" spans="2:6" ht="16.5" thickBot="1" x14ac:dyDescent="0.3">
      <c r="B58" s="62" t="s">
        <v>22</v>
      </c>
      <c r="C58" s="70" t="s">
        <v>23</v>
      </c>
      <c r="D58" s="49" t="e">
        <f>D55/C55-1</f>
        <v>#DIV/0!</v>
      </c>
      <c r="E58" s="49" t="e">
        <f t="shared" ref="E58:F60" si="3">E55/D55-1</f>
        <v>#DIV/0!</v>
      </c>
      <c r="F58" s="49" t="e">
        <f t="shared" si="3"/>
        <v>#DIV/0!</v>
      </c>
    </row>
    <row r="59" spans="2:6" ht="29.45" customHeight="1" thickBot="1" x14ac:dyDescent="0.3">
      <c r="B59" s="62" t="s">
        <v>24</v>
      </c>
      <c r="C59" s="70" t="s">
        <v>23</v>
      </c>
      <c r="D59" s="49" t="e">
        <f>D56/C56-1</f>
        <v>#DIV/0!</v>
      </c>
      <c r="E59" s="49" t="e">
        <f t="shared" si="3"/>
        <v>#DIV/0!</v>
      </c>
      <c r="F59" s="49" t="e">
        <f t="shared" si="3"/>
        <v>#DIV/0!</v>
      </c>
    </row>
    <row r="60" spans="2:6" ht="23.25" customHeight="1" thickBot="1" x14ac:dyDescent="0.3">
      <c r="B60" s="62" t="s">
        <v>25</v>
      </c>
      <c r="C60" s="70" t="s">
        <v>23</v>
      </c>
      <c r="D60" s="49" t="e">
        <f>D57/C57-1</f>
        <v>#DIV/0!</v>
      </c>
      <c r="E60" s="49" t="e">
        <f t="shared" si="3"/>
        <v>#DIV/0!</v>
      </c>
      <c r="F60" s="49" t="e">
        <f t="shared" si="3"/>
        <v>#DIV/0!</v>
      </c>
    </row>
    <row r="61" spans="2:6" ht="23.25" customHeight="1" thickBot="1" x14ac:dyDescent="0.3">
      <c r="B61" s="1124" t="s">
        <v>169</v>
      </c>
      <c r="C61" s="1125"/>
      <c r="D61" s="1125"/>
      <c r="E61" s="1125"/>
      <c r="F61" s="1126"/>
    </row>
    <row r="62" spans="2:6" ht="23.25" customHeight="1" x14ac:dyDescent="0.25">
      <c r="B62" s="998"/>
      <c r="C62" s="63">
        <v>2018</v>
      </c>
      <c r="D62" s="63">
        <v>2019</v>
      </c>
      <c r="E62" s="63">
        <v>2020</v>
      </c>
      <c r="F62" s="63">
        <v>2021</v>
      </c>
    </row>
    <row r="63" spans="2:6" ht="31.9" customHeight="1" thickBot="1" x14ac:dyDescent="0.3">
      <c r="B63" s="999"/>
      <c r="C63" s="64" t="s">
        <v>10</v>
      </c>
      <c r="D63" s="64" t="s">
        <v>11</v>
      </c>
      <c r="E63" s="64" t="s">
        <v>11</v>
      </c>
      <c r="F63" s="64" t="s">
        <v>11</v>
      </c>
    </row>
    <row r="64" spans="2:6" ht="30.6" customHeight="1" thickBot="1" x14ac:dyDescent="0.3">
      <c r="B64" s="65" t="s">
        <v>170</v>
      </c>
      <c r="C64" s="51"/>
      <c r="D64" s="51"/>
      <c r="E64" s="51"/>
      <c r="F64" s="51"/>
    </row>
    <row r="65" spans="2:10" ht="31.15" customHeight="1" thickBot="1" x14ac:dyDescent="0.3">
      <c r="B65" s="65" t="s">
        <v>59</v>
      </c>
      <c r="C65" s="53"/>
      <c r="D65" s="51"/>
      <c r="E65" s="51"/>
      <c r="F65" s="51"/>
    </row>
    <row r="66" spans="2:10" ht="16.5" customHeight="1" thickBot="1" x14ac:dyDescent="0.3">
      <c r="B66" s="66" t="s">
        <v>133</v>
      </c>
      <c r="C66" s="53">
        <f>C65+C64</f>
        <v>0</v>
      </c>
      <c r="D66" s="53">
        <f t="shared" ref="D66:F66" si="4">D65+D64</f>
        <v>0</v>
      </c>
      <c r="E66" s="53">
        <f t="shared" si="4"/>
        <v>0</v>
      </c>
      <c r="F66" s="53">
        <f t="shared" si="4"/>
        <v>0</v>
      </c>
    </row>
    <row r="67" spans="2:10" ht="21.6" customHeight="1" x14ac:dyDescent="0.25">
      <c r="B67" s="1144" t="s">
        <v>171</v>
      </c>
      <c r="C67" s="951"/>
      <c r="D67" s="952"/>
      <c r="E67" s="952"/>
      <c r="F67" s="953"/>
    </row>
    <row r="68" spans="2:10" ht="12.75" customHeight="1" x14ac:dyDescent="0.25">
      <c r="B68" s="1145"/>
      <c r="C68" s="954"/>
      <c r="D68" s="955"/>
      <c r="E68" s="955"/>
      <c r="F68" s="956"/>
    </row>
    <row r="69" spans="2:10" ht="5.45" customHeight="1" thickBot="1" x14ac:dyDescent="0.3">
      <c r="B69" s="1146"/>
      <c r="C69" s="1147"/>
      <c r="D69" s="1148"/>
      <c r="E69" s="1148"/>
      <c r="F69" s="1149"/>
    </row>
    <row r="70" spans="2:10" ht="16.5" thickBot="1" x14ac:dyDescent="0.3">
      <c r="B70" s="1138" t="s">
        <v>63</v>
      </c>
      <c r="C70" s="1139"/>
      <c r="D70" s="1139"/>
      <c r="E70" s="1139"/>
      <c r="F70" s="1140"/>
    </row>
    <row r="71" spans="2:10" ht="17.25" customHeight="1" thickBot="1" x14ac:dyDescent="0.3">
      <c r="B71" s="1127" t="s">
        <v>64</v>
      </c>
      <c r="C71" s="1128"/>
      <c r="D71" s="1128"/>
      <c r="E71" s="1128"/>
      <c r="F71" s="1129"/>
    </row>
    <row r="72" spans="2:10" ht="15.75" thickBot="1" x14ac:dyDescent="0.3">
      <c r="B72" s="20" t="s">
        <v>61</v>
      </c>
      <c r="C72" s="961" t="s">
        <v>130</v>
      </c>
      <c r="D72" s="962"/>
      <c r="E72" s="962"/>
      <c r="F72" s="963"/>
    </row>
    <row r="73" spans="2:10" ht="22.9" customHeight="1" thickBot="1" x14ac:dyDescent="0.3">
      <c r="B73" s="67" t="s">
        <v>168</v>
      </c>
      <c r="C73" s="1141"/>
      <c r="D73" s="1142"/>
      <c r="E73" s="1142"/>
      <c r="F73" s="1143"/>
    </row>
    <row r="74" spans="2:10" ht="34.15" customHeight="1" thickBot="1" x14ac:dyDescent="0.3">
      <c r="B74" s="43" t="s">
        <v>132</v>
      </c>
      <c r="C74" s="1130" t="s">
        <v>164</v>
      </c>
      <c r="D74" s="1131"/>
      <c r="E74" s="1131"/>
      <c r="F74" s="1132"/>
    </row>
    <row r="75" spans="2:10" ht="34.9" customHeight="1" thickBot="1" x14ac:dyDescent="0.3">
      <c r="B75" s="62" t="s">
        <v>17</v>
      </c>
      <c r="C75" s="1133" t="s">
        <v>165</v>
      </c>
      <c r="D75" s="1134"/>
      <c r="E75" s="1134"/>
      <c r="F75" s="1135"/>
    </row>
    <row r="76" spans="2:10" ht="22.9" customHeight="1" thickBot="1" x14ac:dyDescent="0.3">
      <c r="B76" s="62" t="s">
        <v>18</v>
      </c>
      <c r="C76" s="1121" t="s">
        <v>166</v>
      </c>
      <c r="D76" s="1122"/>
      <c r="E76" s="1122"/>
      <c r="F76" s="1123"/>
    </row>
    <row r="77" spans="2:10" x14ac:dyDescent="0.25">
      <c r="B77" s="998"/>
      <c r="C77" s="63">
        <v>2018</v>
      </c>
      <c r="D77" s="63">
        <v>2019</v>
      </c>
      <c r="E77" s="63">
        <v>2020</v>
      </c>
      <c r="F77" s="63">
        <v>2021</v>
      </c>
    </row>
    <row r="78" spans="2:10" ht="22.15" customHeight="1" thickBot="1" x14ac:dyDescent="0.3">
      <c r="B78" s="999"/>
      <c r="C78" s="64" t="s">
        <v>10</v>
      </c>
      <c r="D78" s="64" t="s">
        <v>11</v>
      </c>
      <c r="E78" s="64" t="s">
        <v>11</v>
      </c>
      <c r="F78" s="64" t="s">
        <v>11</v>
      </c>
      <c r="G78" s="12"/>
      <c r="H78" s="12"/>
      <c r="I78" s="12"/>
      <c r="J78" s="12"/>
    </row>
    <row r="79" spans="2:10" ht="16.5" thickBot="1" x14ac:dyDescent="0.3">
      <c r="B79" s="62" t="s">
        <v>19</v>
      </c>
      <c r="C79" s="48"/>
      <c r="D79" s="48"/>
      <c r="E79" s="48"/>
      <c r="F79" s="48"/>
    </row>
    <row r="80" spans="2:10" ht="16.5" thickBot="1" x14ac:dyDescent="0.3">
      <c r="B80" s="62" t="s">
        <v>20</v>
      </c>
      <c r="C80" s="48"/>
      <c r="D80" s="48"/>
      <c r="E80" s="48"/>
      <c r="F80" s="48"/>
    </row>
    <row r="81" spans="2:6" ht="24" customHeight="1" thickBot="1" x14ac:dyDescent="0.3">
      <c r="B81" s="62" t="s">
        <v>21</v>
      </c>
      <c r="C81" s="48" t="e">
        <f>C80/C79</f>
        <v>#DIV/0!</v>
      </c>
      <c r="D81" s="48" t="e">
        <f t="shared" ref="D81:F81" si="5">D80/D79</f>
        <v>#DIV/0!</v>
      </c>
      <c r="E81" s="48" t="e">
        <f t="shared" si="5"/>
        <v>#DIV/0!</v>
      </c>
      <c r="F81" s="48" t="e">
        <f t="shared" si="5"/>
        <v>#DIV/0!</v>
      </c>
    </row>
    <row r="82" spans="2:6" ht="32.450000000000003" customHeight="1" thickBot="1" x14ac:dyDescent="0.3">
      <c r="B82" s="62" t="s">
        <v>22</v>
      </c>
      <c r="C82" s="70" t="s">
        <v>23</v>
      </c>
      <c r="D82" s="49" t="e">
        <f>D79/C79-1</f>
        <v>#DIV/0!</v>
      </c>
      <c r="E82" s="49" t="e">
        <f t="shared" ref="E82:F84" si="6">E79/D79-1</f>
        <v>#DIV/0!</v>
      </c>
      <c r="F82" s="49" t="e">
        <f t="shared" si="6"/>
        <v>#DIV/0!</v>
      </c>
    </row>
    <row r="83" spans="2:6" ht="28.15" customHeight="1" thickBot="1" x14ac:dyDescent="0.3">
      <c r="B83" s="62" t="s">
        <v>24</v>
      </c>
      <c r="C83" s="70" t="s">
        <v>23</v>
      </c>
      <c r="D83" s="49" t="e">
        <f>D80/C80-1</f>
        <v>#DIV/0!</v>
      </c>
      <c r="E83" s="49" t="e">
        <f t="shared" si="6"/>
        <v>#DIV/0!</v>
      </c>
      <c r="F83" s="49" t="e">
        <f t="shared" si="6"/>
        <v>#DIV/0!</v>
      </c>
    </row>
    <row r="84" spans="2:6" ht="16.5" thickBot="1" x14ac:dyDescent="0.3">
      <c r="B84" s="62" t="s">
        <v>25</v>
      </c>
      <c r="C84" s="70" t="s">
        <v>23</v>
      </c>
      <c r="D84" s="49" t="e">
        <f>D81/C81-1</f>
        <v>#DIV/0!</v>
      </c>
      <c r="E84" s="49" t="e">
        <f t="shared" si="6"/>
        <v>#DIV/0!</v>
      </c>
      <c r="F84" s="49" t="e">
        <f t="shared" si="6"/>
        <v>#DIV/0!</v>
      </c>
    </row>
    <row r="85" spans="2:6" ht="22.9" customHeight="1" thickBot="1" x14ac:dyDescent="0.3">
      <c r="B85" s="1124" t="s">
        <v>169</v>
      </c>
      <c r="C85" s="1125"/>
      <c r="D85" s="1125"/>
      <c r="E85" s="1125"/>
      <c r="F85" s="1126"/>
    </row>
    <row r="86" spans="2:6" x14ac:dyDescent="0.25">
      <c r="B86" s="998"/>
      <c r="C86" s="63">
        <v>2018</v>
      </c>
      <c r="D86" s="63">
        <v>2019</v>
      </c>
      <c r="E86" s="63">
        <v>2020</v>
      </c>
      <c r="F86" s="63">
        <v>2021</v>
      </c>
    </row>
    <row r="87" spans="2:6" ht="15.75" thickBot="1" x14ac:dyDescent="0.3">
      <c r="B87" s="999"/>
      <c r="C87" s="64" t="s">
        <v>10</v>
      </c>
      <c r="D87" s="64" t="s">
        <v>11</v>
      </c>
      <c r="E87" s="64" t="s">
        <v>11</v>
      </c>
      <c r="F87" s="64" t="s">
        <v>11</v>
      </c>
    </row>
    <row r="88" spans="2:6" ht="27" customHeight="1" thickBot="1" x14ac:dyDescent="0.3">
      <c r="B88" s="65" t="s">
        <v>170</v>
      </c>
      <c r="C88" s="51"/>
      <c r="D88" s="51"/>
      <c r="E88" s="51"/>
      <c r="F88" s="51"/>
    </row>
    <row r="89" spans="2:6" ht="16.5" thickBot="1" x14ac:dyDescent="0.3">
      <c r="B89" s="65" t="s">
        <v>59</v>
      </c>
      <c r="C89" s="53"/>
      <c r="D89" s="51"/>
      <c r="E89" s="51"/>
      <c r="F89" s="51"/>
    </row>
    <row r="90" spans="2:6" ht="16.5" thickBot="1" x14ac:dyDescent="0.3">
      <c r="B90" s="66" t="s">
        <v>133</v>
      </c>
      <c r="C90" s="53">
        <f>C89+C88</f>
        <v>0</v>
      </c>
      <c r="D90" s="53">
        <f t="shared" ref="D90:F90" si="7">D89+D88</f>
        <v>0</v>
      </c>
      <c r="E90" s="53">
        <f t="shared" si="7"/>
        <v>0</v>
      </c>
      <c r="F90" s="53">
        <f t="shared" si="7"/>
        <v>0</v>
      </c>
    </row>
    <row r="91" spans="2:6" x14ac:dyDescent="0.25">
      <c r="B91" s="1015" t="s">
        <v>171</v>
      </c>
      <c r="C91" s="951"/>
      <c r="D91" s="952"/>
      <c r="E91" s="952"/>
      <c r="F91" s="953"/>
    </row>
    <row r="92" spans="2:6" x14ac:dyDescent="0.25">
      <c r="B92" s="1016"/>
      <c r="C92" s="954"/>
      <c r="D92" s="955"/>
      <c r="E92" s="955"/>
      <c r="F92" s="956"/>
    </row>
    <row r="93" spans="2:6" ht="30.6" customHeight="1" thickBot="1" x14ac:dyDescent="0.3">
      <c r="B93" s="1017"/>
      <c r="C93" s="957"/>
      <c r="D93" s="958"/>
      <c r="E93" s="958"/>
      <c r="F93" s="959"/>
    </row>
    <row r="94" spans="2:6" ht="31.9" customHeight="1" thickBot="1" x14ac:dyDescent="0.3">
      <c r="B94" s="21" t="s">
        <v>67</v>
      </c>
      <c r="C94" s="1115" t="s">
        <v>172</v>
      </c>
      <c r="D94" s="1116"/>
      <c r="E94" s="1116"/>
      <c r="F94" s="1117"/>
    </row>
    <row r="95" spans="2:6" ht="15.75" thickBot="1" x14ac:dyDescent="0.3">
      <c r="B95" s="927" t="s">
        <v>68</v>
      </c>
      <c r="C95" s="928"/>
      <c r="D95" s="928"/>
      <c r="E95" s="928"/>
      <c r="F95" s="929"/>
    </row>
    <row r="96" spans="2:6" ht="30.75" thickBot="1" x14ac:dyDescent="0.3">
      <c r="B96" s="62" t="s">
        <v>173</v>
      </c>
      <c r="C96" s="41">
        <v>0.6</v>
      </c>
      <c r="D96" s="41">
        <v>0.7</v>
      </c>
      <c r="E96" s="41">
        <v>0.7</v>
      </c>
      <c r="F96" s="41">
        <v>0.8</v>
      </c>
    </row>
    <row r="97" spans="2:6" ht="16.5" thickBot="1" x14ac:dyDescent="0.3">
      <c r="B97" s="1127" t="s">
        <v>69</v>
      </c>
      <c r="C97" s="1128"/>
      <c r="D97" s="1128"/>
      <c r="E97" s="1128"/>
      <c r="F97" s="1129"/>
    </row>
    <row r="98" spans="2:6" ht="16.5" thickBot="1" x14ac:dyDescent="0.3">
      <c r="B98" s="1127" t="s">
        <v>104</v>
      </c>
      <c r="C98" s="1128"/>
      <c r="D98" s="1128"/>
      <c r="E98" s="1128"/>
      <c r="F98" s="1129"/>
    </row>
    <row r="99" spans="2:6" ht="33.6" customHeight="1" thickBot="1" x14ac:dyDescent="0.3">
      <c r="B99" s="79" t="s">
        <v>174</v>
      </c>
      <c r="C99" s="1115" t="s">
        <v>175</v>
      </c>
      <c r="D99" s="1116"/>
      <c r="E99" s="1116"/>
      <c r="F99" s="1117"/>
    </row>
    <row r="100" spans="2:6" ht="32.450000000000003" customHeight="1" thickBot="1" x14ac:dyDescent="0.3">
      <c r="B100" s="62" t="s">
        <v>17</v>
      </c>
      <c r="C100" s="1133" t="s">
        <v>176</v>
      </c>
      <c r="D100" s="1134"/>
      <c r="E100" s="1134"/>
      <c r="F100" s="1135"/>
    </row>
    <row r="101" spans="2:6" ht="16.5" thickBot="1" x14ac:dyDescent="0.3">
      <c r="B101" s="62" t="s">
        <v>18</v>
      </c>
      <c r="C101" s="1121" t="s">
        <v>177</v>
      </c>
      <c r="D101" s="1122"/>
      <c r="E101" s="1122"/>
      <c r="F101" s="1123"/>
    </row>
    <row r="102" spans="2:6" ht="16.5" thickBot="1" x14ac:dyDescent="0.3">
      <c r="B102" s="62" t="s">
        <v>19</v>
      </c>
      <c r="C102" s="48"/>
      <c r="D102" s="48"/>
      <c r="E102" s="48"/>
      <c r="F102" s="48"/>
    </row>
    <row r="103" spans="2:6" ht="15.75" x14ac:dyDescent="0.25">
      <c r="B103" s="998"/>
      <c r="C103" s="44">
        <v>2018</v>
      </c>
      <c r="D103" s="44">
        <v>2019</v>
      </c>
      <c r="E103" s="44">
        <v>2020</v>
      </c>
      <c r="F103" s="44">
        <v>2021</v>
      </c>
    </row>
    <row r="104" spans="2:6" ht="16.5" thickBot="1" x14ac:dyDescent="0.3">
      <c r="B104" s="999"/>
      <c r="C104" s="45" t="s">
        <v>10</v>
      </c>
      <c r="D104" s="45" t="s">
        <v>11</v>
      </c>
      <c r="E104" s="45" t="s">
        <v>11</v>
      </c>
      <c r="F104" s="45" t="s">
        <v>11</v>
      </c>
    </row>
    <row r="105" spans="2:6" ht="16.5" thickBot="1" x14ac:dyDescent="0.3">
      <c r="B105" s="62" t="s">
        <v>20</v>
      </c>
      <c r="C105" s="48"/>
      <c r="D105" s="48"/>
      <c r="E105" s="48"/>
      <c r="F105" s="48"/>
    </row>
    <row r="106" spans="2:6" ht="16.5" thickBot="1" x14ac:dyDescent="0.3">
      <c r="B106" s="62" t="s">
        <v>21</v>
      </c>
      <c r="C106" s="48" t="e">
        <f>C105/C102</f>
        <v>#DIV/0!</v>
      </c>
      <c r="D106" s="48" t="e">
        <f>D105/D102</f>
        <v>#DIV/0!</v>
      </c>
      <c r="E106" s="48" t="e">
        <f>E105/E102</f>
        <v>#DIV/0!</v>
      </c>
      <c r="F106" s="48" t="e">
        <f>F105/F102</f>
        <v>#DIV/0!</v>
      </c>
    </row>
    <row r="107" spans="2:6" ht="16.5" thickBot="1" x14ac:dyDescent="0.3">
      <c r="B107" s="62" t="s">
        <v>22</v>
      </c>
      <c r="C107" s="70"/>
      <c r="D107" s="49" t="e">
        <f>D102/C102-1</f>
        <v>#DIV/0!</v>
      </c>
      <c r="E107" s="49" t="e">
        <f>E102/D102-1</f>
        <v>#DIV/0!</v>
      </c>
      <c r="F107" s="49" t="e">
        <f>F102/E102-1</f>
        <v>#DIV/0!</v>
      </c>
    </row>
    <row r="108" spans="2:6" ht="16.5" thickBot="1" x14ac:dyDescent="0.3">
      <c r="B108" s="62" t="s">
        <v>24</v>
      </c>
      <c r="C108" s="70"/>
      <c r="D108" s="49" t="e">
        <f>D105/C105-1</f>
        <v>#DIV/0!</v>
      </c>
      <c r="E108" s="49" t="e">
        <f t="shared" ref="E108:F109" si="8">E105/D105-1</f>
        <v>#DIV/0!</v>
      </c>
      <c r="F108" s="49" t="e">
        <f t="shared" si="8"/>
        <v>#DIV/0!</v>
      </c>
    </row>
    <row r="109" spans="2:6" ht="16.5" thickBot="1" x14ac:dyDescent="0.3">
      <c r="B109" s="62" t="s">
        <v>25</v>
      </c>
      <c r="C109" s="70"/>
      <c r="D109" s="49" t="e">
        <f>D106/C106-1</f>
        <v>#DIV/0!</v>
      </c>
      <c r="E109" s="49" t="e">
        <f t="shared" si="8"/>
        <v>#DIV/0!</v>
      </c>
      <c r="F109" s="49" t="e">
        <f t="shared" si="8"/>
        <v>#DIV/0!</v>
      </c>
    </row>
    <row r="110" spans="2:6" ht="16.5" thickBot="1" x14ac:dyDescent="0.3">
      <c r="B110" s="1124" t="s">
        <v>178</v>
      </c>
      <c r="C110" s="1125"/>
      <c r="D110" s="1125"/>
      <c r="E110" s="1125"/>
      <c r="F110" s="1126"/>
    </row>
    <row r="111" spans="2:6" ht="15.75" x14ac:dyDescent="0.25">
      <c r="B111" s="998"/>
      <c r="C111" s="44">
        <v>2018</v>
      </c>
      <c r="D111" s="44">
        <v>2019</v>
      </c>
      <c r="E111" s="44">
        <v>2020</v>
      </c>
      <c r="F111" s="44">
        <v>2021</v>
      </c>
    </row>
    <row r="112" spans="2:6" ht="16.5" thickBot="1" x14ac:dyDescent="0.3">
      <c r="B112" s="999"/>
      <c r="C112" s="45" t="s">
        <v>10</v>
      </c>
      <c r="D112" s="45" t="s">
        <v>11</v>
      </c>
      <c r="E112" s="45" t="s">
        <v>11</v>
      </c>
      <c r="F112" s="45" t="s">
        <v>11</v>
      </c>
    </row>
    <row r="113" spans="2:6" ht="16.5" thickBot="1" x14ac:dyDescent="0.3">
      <c r="B113" s="78" t="s">
        <v>26</v>
      </c>
      <c r="C113" s="51"/>
      <c r="D113" s="51"/>
      <c r="E113" s="51"/>
      <c r="F113" s="51"/>
    </row>
    <row r="114" spans="2:6" ht="16.5" thickBot="1" x14ac:dyDescent="0.3">
      <c r="B114" s="78" t="s">
        <v>28</v>
      </c>
      <c r="C114" s="51"/>
      <c r="D114" s="51"/>
      <c r="E114" s="51"/>
      <c r="F114" s="51"/>
    </row>
    <row r="115" spans="2:6" ht="16.5" thickBot="1" x14ac:dyDescent="0.3">
      <c r="B115" s="78" t="s">
        <v>30</v>
      </c>
      <c r="C115" s="53"/>
      <c r="D115" s="51"/>
      <c r="E115" s="51"/>
      <c r="F115" s="51"/>
    </row>
    <row r="116" spans="2:6" ht="16.5" thickBot="1" x14ac:dyDescent="0.3">
      <c r="B116" s="78" t="s">
        <v>32</v>
      </c>
      <c r="C116" s="53"/>
      <c r="D116" s="51"/>
      <c r="E116" s="51"/>
      <c r="F116" s="51"/>
    </row>
    <row r="117" spans="2:6" ht="16.5" thickBot="1" x14ac:dyDescent="0.3">
      <c r="B117" s="78" t="s">
        <v>34</v>
      </c>
      <c r="C117" s="53"/>
      <c r="D117" s="51"/>
      <c r="E117" s="51"/>
      <c r="F117" s="51"/>
    </row>
    <row r="118" spans="2:6" ht="16.5" thickBot="1" x14ac:dyDescent="0.3">
      <c r="B118" s="78" t="s">
        <v>36</v>
      </c>
      <c r="C118" s="53"/>
      <c r="D118" s="51"/>
      <c r="E118" s="51"/>
      <c r="F118" s="51"/>
    </row>
    <row r="119" spans="2:6" ht="16.5" thickBot="1" x14ac:dyDescent="0.3">
      <c r="B119" s="78" t="s">
        <v>38</v>
      </c>
      <c r="C119" s="53"/>
      <c r="D119" s="51"/>
      <c r="E119" s="51"/>
      <c r="F119" s="51"/>
    </row>
    <row r="120" spans="2:6" ht="23.45" customHeight="1" thickBot="1" x14ac:dyDescent="0.3">
      <c r="B120" s="80" t="s">
        <v>135</v>
      </c>
      <c r="C120" s="53">
        <f>C119+C118+C117+C116+C115+C114+C113</f>
        <v>0</v>
      </c>
      <c r="D120" s="53">
        <f>D119+D118+D117+D116+D115+D114+D113</f>
        <v>0</v>
      </c>
      <c r="E120" s="53">
        <f>E119+E118+E117+E116+E115+E114+E113</f>
        <v>0</v>
      </c>
      <c r="F120" s="53">
        <f>F119+F118+F117+F116+F115+F114+F113</f>
        <v>0</v>
      </c>
    </row>
    <row r="121" spans="2:6" ht="16.5" thickBot="1" x14ac:dyDescent="0.3">
      <c r="B121" s="46" t="s">
        <v>41</v>
      </c>
      <c r="C121" s="47">
        <f>IF(C120-C105=0,0,"Error")</f>
        <v>0</v>
      </c>
      <c r="D121" s="47">
        <f>IF(D120-D105=0,0,"Error")</f>
        <v>0</v>
      </c>
      <c r="E121" s="47">
        <f>IF(E120-E105=0,0,"Error")</f>
        <v>0</v>
      </c>
      <c r="F121" s="47">
        <f>IF(F120-F105=0,0,"Error")</f>
        <v>0</v>
      </c>
    </row>
    <row r="122" spans="2:6" ht="16.5" thickBot="1" x14ac:dyDescent="0.3">
      <c r="B122" s="1127" t="s">
        <v>63</v>
      </c>
      <c r="C122" s="1128"/>
      <c r="D122" s="1128"/>
      <c r="E122" s="1128"/>
      <c r="F122" s="1129"/>
    </row>
    <row r="123" spans="2:6" ht="16.5" thickBot="1" x14ac:dyDescent="0.3">
      <c r="B123" s="1127" t="s">
        <v>56</v>
      </c>
      <c r="C123" s="1128"/>
      <c r="D123" s="1128"/>
      <c r="E123" s="1128"/>
      <c r="F123" s="1129"/>
    </row>
    <row r="124" spans="2:6" ht="16.5" thickBot="1" x14ac:dyDescent="0.3">
      <c r="B124" s="67" t="s">
        <v>179</v>
      </c>
      <c r="C124" s="1115" t="s">
        <v>175</v>
      </c>
      <c r="D124" s="1116"/>
      <c r="E124" s="1116"/>
      <c r="F124" s="1117"/>
    </row>
    <row r="125" spans="2:6" ht="32.450000000000003" customHeight="1" thickBot="1" x14ac:dyDescent="0.3">
      <c r="B125" s="43" t="s">
        <v>134</v>
      </c>
      <c r="C125" s="1115" t="s">
        <v>175</v>
      </c>
      <c r="D125" s="1116"/>
      <c r="E125" s="1116"/>
      <c r="F125" s="1117"/>
    </row>
    <row r="126" spans="2:6" ht="32.450000000000003" customHeight="1" thickBot="1" x14ac:dyDescent="0.3">
      <c r="B126" s="62" t="s">
        <v>17</v>
      </c>
      <c r="C126" s="1133" t="s">
        <v>176</v>
      </c>
      <c r="D126" s="1134"/>
      <c r="E126" s="1134"/>
      <c r="F126" s="1135"/>
    </row>
    <row r="127" spans="2:6" ht="16.5" thickBot="1" x14ac:dyDescent="0.3">
      <c r="B127" s="62" t="s">
        <v>18</v>
      </c>
      <c r="C127" s="1121" t="s">
        <v>177</v>
      </c>
      <c r="D127" s="1122"/>
      <c r="E127" s="1122"/>
      <c r="F127" s="1123"/>
    </row>
    <row r="128" spans="2:6" x14ac:dyDescent="0.25">
      <c r="B128" s="998"/>
      <c r="C128" s="63">
        <v>2018</v>
      </c>
      <c r="D128" s="63">
        <v>2019</v>
      </c>
      <c r="E128" s="63">
        <v>2020</v>
      </c>
      <c r="F128" s="63">
        <v>2021</v>
      </c>
    </row>
    <row r="129" spans="2:6" ht="15.75" thickBot="1" x14ac:dyDescent="0.3">
      <c r="B129" s="999"/>
      <c r="C129" s="64" t="s">
        <v>10</v>
      </c>
      <c r="D129" s="64" t="s">
        <v>11</v>
      </c>
      <c r="E129" s="64" t="s">
        <v>11</v>
      </c>
      <c r="F129" s="64" t="s">
        <v>11</v>
      </c>
    </row>
    <row r="130" spans="2:6" ht="16.5" thickBot="1" x14ac:dyDescent="0.3">
      <c r="B130" s="62" t="s">
        <v>19</v>
      </c>
      <c r="C130" s="48">
        <v>10</v>
      </c>
      <c r="D130" s="48">
        <v>10</v>
      </c>
      <c r="E130" s="48">
        <v>10</v>
      </c>
      <c r="F130" s="48">
        <v>12</v>
      </c>
    </row>
    <row r="131" spans="2:6" ht="16.5" thickBot="1" x14ac:dyDescent="0.3">
      <c r="B131" s="62" t="s">
        <v>20</v>
      </c>
      <c r="C131" s="48">
        <v>1000</v>
      </c>
      <c r="D131" s="48">
        <v>1000</v>
      </c>
      <c r="E131" s="48">
        <v>1000</v>
      </c>
      <c r="F131" s="48">
        <v>1540</v>
      </c>
    </row>
    <row r="132" spans="2:6" ht="16.5" thickBot="1" x14ac:dyDescent="0.3">
      <c r="B132" s="62" t="s">
        <v>21</v>
      </c>
      <c r="C132" s="48">
        <f>C131/C130</f>
        <v>100</v>
      </c>
      <c r="D132" s="48">
        <f t="shared" ref="D132:F132" si="9">D131/D130</f>
        <v>100</v>
      </c>
      <c r="E132" s="48">
        <f t="shared" si="9"/>
        <v>100</v>
      </c>
      <c r="F132" s="48">
        <f t="shared" si="9"/>
        <v>128.33333333333334</v>
      </c>
    </row>
    <row r="133" spans="2:6" ht="16.5" thickBot="1" x14ac:dyDescent="0.3">
      <c r="B133" s="62" t="s">
        <v>22</v>
      </c>
      <c r="C133" s="70" t="s">
        <v>23</v>
      </c>
      <c r="D133" s="49">
        <f>D130/C130-1</f>
        <v>0</v>
      </c>
      <c r="E133" s="49">
        <f t="shared" ref="E133:F135" si="10">E130/D130-1</f>
        <v>0</v>
      </c>
      <c r="F133" s="49">
        <f t="shared" si="10"/>
        <v>0.19999999999999996</v>
      </c>
    </row>
    <row r="134" spans="2:6" ht="16.5" thickBot="1" x14ac:dyDescent="0.3">
      <c r="B134" s="62" t="s">
        <v>24</v>
      </c>
      <c r="C134" s="70" t="s">
        <v>23</v>
      </c>
      <c r="D134" s="49">
        <f>D131/C131-1</f>
        <v>0</v>
      </c>
      <c r="E134" s="49">
        <f t="shared" si="10"/>
        <v>0</v>
      </c>
      <c r="F134" s="49">
        <f t="shared" si="10"/>
        <v>0.54</v>
      </c>
    </row>
    <row r="135" spans="2:6" ht="16.5" thickBot="1" x14ac:dyDescent="0.3">
      <c r="B135" s="62" t="s">
        <v>25</v>
      </c>
      <c r="C135" s="70" t="s">
        <v>23</v>
      </c>
      <c r="D135" s="49">
        <f>D132/C132-1</f>
        <v>0</v>
      </c>
      <c r="E135" s="49">
        <f t="shared" si="10"/>
        <v>0</v>
      </c>
      <c r="F135" s="49">
        <f t="shared" si="10"/>
        <v>0.28333333333333344</v>
      </c>
    </row>
    <row r="136" spans="2:6" ht="16.5" thickBot="1" x14ac:dyDescent="0.3">
      <c r="B136" s="1124" t="s">
        <v>180</v>
      </c>
      <c r="C136" s="1125"/>
      <c r="D136" s="1125"/>
      <c r="E136" s="1125"/>
      <c r="F136" s="1126"/>
    </row>
    <row r="137" spans="2:6" x14ac:dyDescent="0.25">
      <c r="B137" s="998"/>
      <c r="C137" s="63">
        <v>2018</v>
      </c>
      <c r="D137" s="63">
        <v>2019</v>
      </c>
      <c r="E137" s="63">
        <v>2020</v>
      </c>
      <c r="F137" s="63">
        <v>2021</v>
      </c>
    </row>
    <row r="138" spans="2:6" ht="15.75" thickBot="1" x14ac:dyDescent="0.3">
      <c r="B138" s="999"/>
      <c r="C138" s="64" t="s">
        <v>10</v>
      </c>
      <c r="D138" s="64" t="s">
        <v>11</v>
      </c>
      <c r="E138" s="64" t="s">
        <v>11</v>
      </c>
      <c r="F138" s="64" t="s">
        <v>11</v>
      </c>
    </row>
    <row r="139" spans="2:6" ht="16.5" thickBot="1" x14ac:dyDescent="0.3">
      <c r="B139" s="65" t="s">
        <v>58</v>
      </c>
      <c r="C139" s="51"/>
      <c r="D139" s="51"/>
      <c r="E139" s="51"/>
      <c r="F139" s="51"/>
    </row>
    <row r="140" spans="2:6" ht="16.5" thickBot="1" x14ac:dyDescent="0.3">
      <c r="B140" s="65" t="s">
        <v>59</v>
      </c>
      <c r="C140" s="53">
        <v>1000</v>
      </c>
      <c r="D140" s="51">
        <v>1000</v>
      </c>
      <c r="E140" s="51">
        <v>1000</v>
      </c>
      <c r="F140" s="51">
        <v>1540</v>
      </c>
    </row>
    <row r="141" spans="2:6" ht="16.5" thickBot="1" x14ac:dyDescent="0.3">
      <c r="B141" s="66" t="s">
        <v>135</v>
      </c>
      <c r="C141" s="53">
        <f>C140+C139</f>
        <v>1000</v>
      </c>
      <c r="D141" s="53">
        <f t="shared" ref="D141:F141" si="11">D140+D139</f>
        <v>1000</v>
      </c>
      <c r="E141" s="53">
        <f t="shared" si="11"/>
        <v>1000</v>
      </c>
      <c r="F141" s="53">
        <f t="shared" si="11"/>
        <v>1540</v>
      </c>
    </row>
    <row r="142" spans="2:6" x14ac:dyDescent="0.25">
      <c r="B142" s="1015" t="s">
        <v>181</v>
      </c>
      <c r="C142" s="951"/>
      <c r="D142" s="952"/>
      <c r="E142" s="952"/>
      <c r="F142" s="953"/>
    </row>
    <row r="143" spans="2:6" x14ac:dyDescent="0.25">
      <c r="B143" s="1016"/>
      <c r="C143" s="954"/>
      <c r="D143" s="955"/>
      <c r="E143" s="955"/>
      <c r="F143" s="956"/>
    </row>
    <row r="144" spans="2:6" ht="15.75" thickBot="1" x14ac:dyDescent="0.3">
      <c r="B144" s="1017"/>
      <c r="C144" s="957"/>
      <c r="D144" s="958"/>
      <c r="E144" s="958"/>
      <c r="F144" s="959"/>
    </row>
    <row r="145" spans="2:6" ht="16.5" thickBot="1" x14ac:dyDescent="0.3">
      <c r="B145" s="1127" t="s">
        <v>63</v>
      </c>
      <c r="C145" s="1128"/>
      <c r="D145" s="1128"/>
      <c r="E145" s="1128"/>
      <c r="F145" s="1129"/>
    </row>
    <row r="146" spans="2:6" ht="16.5" thickBot="1" x14ac:dyDescent="0.3">
      <c r="B146" s="1127" t="s">
        <v>64</v>
      </c>
      <c r="C146" s="1128"/>
      <c r="D146" s="1128"/>
      <c r="E146" s="1128"/>
      <c r="F146" s="1129"/>
    </row>
    <row r="147" spans="2:6" ht="15.75" thickBot="1" x14ac:dyDescent="0.3">
      <c r="B147" s="20" t="s">
        <v>61</v>
      </c>
      <c r="C147" s="961" t="s">
        <v>130</v>
      </c>
      <c r="D147" s="962"/>
      <c r="E147" s="962"/>
      <c r="F147" s="963"/>
    </row>
    <row r="148" spans="2:6" ht="37.9" customHeight="1" thickBot="1" x14ac:dyDescent="0.3">
      <c r="B148" s="67" t="s">
        <v>179</v>
      </c>
      <c r="C148" s="1115" t="s">
        <v>175</v>
      </c>
      <c r="D148" s="1116"/>
      <c r="E148" s="1116"/>
      <c r="F148" s="1117"/>
    </row>
    <row r="149" spans="2:6" ht="31.9" customHeight="1" thickBot="1" x14ac:dyDescent="0.3">
      <c r="B149" s="43" t="s">
        <v>134</v>
      </c>
      <c r="C149" s="1115" t="s">
        <v>175</v>
      </c>
      <c r="D149" s="1116"/>
      <c r="E149" s="1116"/>
      <c r="F149" s="1117"/>
    </row>
    <row r="150" spans="2:6" ht="38.450000000000003" customHeight="1" thickBot="1" x14ac:dyDescent="0.3">
      <c r="B150" s="62" t="s">
        <v>17</v>
      </c>
      <c r="C150" s="1133" t="s">
        <v>176</v>
      </c>
      <c r="D150" s="1134"/>
      <c r="E150" s="1134"/>
      <c r="F150" s="1135"/>
    </row>
    <row r="151" spans="2:6" ht="16.5" thickBot="1" x14ac:dyDescent="0.3">
      <c r="B151" s="62" t="s">
        <v>18</v>
      </c>
      <c r="C151" s="1121"/>
      <c r="D151" s="1122"/>
      <c r="E151" s="1122"/>
      <c r="F151" s="1123"/>
    </row>
    <row r="152" spans="2:6" x14ac:dyDescent="0.25">
      <c r="B152" s="998"/>
      <c r="C152" s="63">
        <v>2018</v>
      </c>
      <c r="D152" s="63">
        <v>2019</v>
      </c>
      <c r="E152" s="63">
        <v>2020</v>
      </c>
      <c r="F152" s="63">
        <v>2021</v>
      </c>
    </row>
    <row r="153" spans="2:6" ht="15.75" thickBot="1" x14ac:dyDescent="0.3">
      <c r="B153" s="999"/>
      <c r="C153" s="64" t="s">
        <v>10</v>
      </c>
      <c r="D153" s="64" t="s">
        <v>11</v>
      </c>
      <c r="E153" s="64" t="s">
        <v>11</v>
      </c>
      <c r="F153" s="64" t="s">
        <v>11</v>
      </c>
    </row>
    <row r="154" spans="2:6" ht="16.5" thickBot="1" x14ac:dyDescent="0.3">
      <c r="B154" s="62" t="s">
        <v>19</v>
      </c>
      <c r="C154" s="48"/>
      <c r="D154" s="48"/>
      <c r="E154" s="48"/>
      <c r="F154" s="48"/>
    </row>
    <row r="155" spans="2:6" ht="16.5" thickBot="1" x14ac:dyDescent="0.3">
      <c r="B155" s="62" t="s">
        <v>20</v>
      </c>
      <c r="C155" s="48"/>
      <c r="D155" s="48"/>
      <c r="E155" s="48"/>
      <c r="F155" s="48"/>
    </row>
    <row r="156" spans="2:6" ht="16.5" thickBot="1" x14ac:dyDescent="0.3">
      <c r="B156" s="62" t="s">
        <v>21</v>
      </c>
      <c r="C156" s="48" t="e">
        <f>C155/C154</f>
        <v>#DIV/0!</v>
      </c>
      <c r="D156" s="48" t="e">
        <f t="shared" ref="D156:F156" si="12">D155/D154</f>
        <v>#DIV/0!</v>
      </c>
      <c r="E156" s="48" t="e">
        <f t="shared" si="12"/>
        <v>#DIV/0!</v>
      </c>
      <c r="F156" s="48" t="e">
        <f t="shared" si="12"/>
        <v>#DIV/0!</v>
      </c>
    </row>
    <row r="157" spans="2:6" ht="16.5" thickBot="1" x14ac:dyDescent="0.3">
      <c r="B157" s="62" t="s">
        <v>22</v>
      </c>
      <c r="C157" s="70" t="s">
        <v>23</v>
      </c>
      <c r="D157" s="49" t="e">
        <f>D154/C154-1</f>
        <v>#DIV/0!</v>
      </c>
      <c r="E157" s="49" t="e">
        <f t="shared" ref="E157:F159" si="13">E154/D154-1</f>
        <v>#DIV/0!</v>
      </c>
      <c r="F157" s="49" t="e">
        <f t="shared" si="13"/>
        <v>#DIV/0!</v>
      </c>
    </row>
    <row r="158" spans="2:6" ht="16.5" thickBot="1" x14ac:dyDescent="0.3">
      <c r="B158" s="62" t="s">
        <v>24</v>
      </c>
      <c r="C158" s="70" t="s">
        <v>23</v>
      </c>
      <c r="D158" s="49" t="e">
        <f>D155/C155-1</f>
        <v>#DIV/0!</v>
      </c>
      <c r="E158" s="49" t="e">
        <f t="shared" si="13"/>
        <v>#DIV/0!</v>
      </c>
      <c r="F158" s="49" t="e">
        <f t="shared" si="13"/>
        <v>#DIV/0!</v>
      </c>
    </row>
    <row r="159" spans="2:6" ht="16.5" thickBot="1" x14ac:dyDescent="0.3">
      <c r="B159" s="62" t="s">
        <v>25</v>
      </c>
      <c r="C159" s="70" t="s">
        <v>23</v>
      </c>
      <c r="D159" s="49" t="e">
        <f>D156/C156-1</f>
        <v>#DIV/0!</v>
      </c>
      <c r="E159" s="49" t="e">
        <f t="shared" si="13"/>
        <v>#DIV/0!</v>
      </c>
      <c r="F159" s="49" t="e">
        <f t="shared" si="13"/>
        <v>#DIV/0!</v>
      </c>
    </row>
    <row r="160" spans="2:6" ht="16.5" thickBot="1" x14ac:dyDescent="0.3">
      <c r="B160" s="1124" t="s">
        <v>180</v>
      </c>
      <c r="C160" s="1125"/>
      <c r="D160" s="1125"/>
      <c r="E160" s="1125"/>
      <c r="F160" s="1126"/>
    </row>
    <row r="161" spans="2:6" x14ac:dyDescent="0.25">
      <c r="B161" s="998"/>
      <c r="C161" s="63">
        <v>2018</v>
      </c>
      <c r="D161" s="63">
        <v>2019</v>
      </c>
      <c r="E161" s="63">
        <v>2020</v>
      </c>
      <c r="F161" s="63">
        <v>2021</v>
      </c>
    </row>
    <row r="162" spans="2:6" ht="15.75" thickBot="1" x14ac:dyDescent="0.3">
      <c r="B162" s="999"/>
      <c r="C162" s="64" t="s">
        <v>10</v>
      </c>
      <c r="D162" s="64" t="s">
        <v>11</v>
      </c>
      <c r="E162" s="64" t="s">
        <v>11</v>
      </c>
      <c r="F162" s="64" t="s">
        <v>11</v>
      </c>
    </row>
    <row r="163" spans="2:6" ht="16.5" thickBot="1" x14ac:dyDescent="0.3">
      <c r="B163" s="65" t="s">
        <v>58</v>
      </c>
      <c r="C163" s="51"/>
      <c r="D163" s="51"/>
      <c r="E163" s="51"/>
      <c r="F163" s="51"/>
    </row>
    <row r="164" spans="2:6" ht="16.5" thickBot="1" x14ac:dyDescent="0.3">
      <c r="B164" s="65" t="s">
        <v>59</v>
      </c>
      <c r="C164" s="53"/>
      <c r="D164" s="51"/>
      <c r="E164" s="51"/>
      <c r="F164" s="51"/>
    </row>
    <row r="165" spans="2:6" ht="16.5" thickBot="1" x14ac:dyDescent="0.3">
      <c r="B165" s="66" t="s">
        <v>135</v>
      </c>
      <c r="C165" s="53">
        <f>C164+C163</f>
        <v>0</v>
      </c>
      <c r="D165" s="53">
        <f t="shared" ref="D165:F165" si="14">D164+D163</f>
        <v>0</v>
      </c>
      <c r="E165" s="53">
        <f t="shared" si="14"/>
        <v>0</v>
      </c>
      <c r="F165" s="53">
        <f t="shared" si="14"/>
        <v>0</v>
      </c>
    </row>
    <row r="166" spans="2:6" x14ac:dyDescent="0.25">
      <c r="B166" s="1015" t="s">
        <v>182</v>
      </c>
      <c r="C166" s="951"/>
      <c r="D166" s="952"/>
      <c r="E166" s="952"/>
      <c r="F166" s="953"/>
    </row>
    <row r="167" spans="2:6" ht="23.45" customHeight="1" x14ac:dyDescent="0.25">
      <c r="B167" s="1016"/>
      <c r="C167" s="954"/>
      <c r="D167" s="955"/>
      <c r="E167" s="955"/>
      <c r="F167" s="956"/>
    </row>
    <row r="168" spans="2:6" ht="16.899999999999999" customHeight="1" thickBot="1" x14ac:dyDescent="0.3">
      <c r="B168" s="1017"/>
      <c r="C168" s="957"/>
      <c r="D168" s="958"/>
      <c r="E168" s="958"/>
      <c r="F168" s="959"/>
    </row>
    <row r="169" spans="2:6" ht="28.5" customHeight="1" thickBot="1" x14ac:dyDescent="0.3">
      <c r="B169" s="21" t="s">
        <v>75</v>
      </c>
      <c r="C169" s="1115" t="s">
        <v>183</v>
      </c>
      <c r="D169" s="1116"/>
      <c r="E169" s="1116"/>
      <c r="F169" s="1117"/>
    </row>
    <row r="170" spans="2:6" ht="15.75" thickBot="1" x14ac:dyDescent="0.3">
      <c r="B170" s="927" t="s">
        <v>76</v>
      </c>
      <c r="C170" s="928"/>
      <c r="D170" s="928"/>
      <c r="E170" s="928"/>
      <c r="F170" s="929"/>
    </row>
    <row r="171" spans="2:6" ht="30.75" thickBot="1" x14ac:dyDescent="0.3">
      <c r="B171" s="62" t="s">
        <v>184</v>
      </c>
      <c r="C171" s="41">
        <v>0.7</v>
      </c>
      <c r="D171" s="41">
        <v>0.7</v>
      </c>
      <c r="E171" s="41">
        <v>0.7</v>
      </c>
      <c r="F171" s="41">
        <v>0.7</v>
      </c>
    </row>
    <row r="172" spans="2:6" ht="16.5" thickBot="1" x14ac:dyDescent="0.3">
      <c r="B172" s="1127" t="s">
        <v>77</v>
      </c>
      <c r="C172" s="1128"/>
      <c r="D172" s="1128"/>
      <c r="E172" s="1128"/>
      <c r="F172" s="1129"/>
    </row>
    <row r="173" spans="2:6" ht="16.5" thickBot="1" x14ac:dyDescent="0.3">
      <c r="B173" s="1127" t="s">
        <v>104</v>
      </c>
      <c r="C173" s="1128"/>
      <c r="D173" s="1128"/>
      <c r="E173" s="1128"/>
      <c r="F173" s="1129"/>
    </row>
    <row r="174" spans="2:6" ht="16.5" thickBot="1" x14ac:dyDescent="0.3">
      <c r="B174" s="81" t="s">
        <v>137</v>
      </c>
      <c r="C174" s="1130" t="s">
        <v>185</v>
      </c>
      <c r="D174" s="1131"/>
      <c r="E174" s="1131"/>
      <c r="F174" s="1132"/>
    </row>
    <row r="175" spans="2:6" ht="16.5" thickBot="1" x14ac:dyDescent="0.3">
      <c r="B175" s="62" t="s">
        <v>17</v>
      </c>
      <c r="C175" s="1133" t="s">
        <v>186</v>
      </c>
      <c r="D175" s="1134"/>
      <c r="E175" s="1134"/>
      <c r="F175" s="1135"/>
    </row>
    <row r="176" spans="2:6" ht="16.5" thickBot="1" x14ac:dyDescent="0.3">
      <c r="B176" s="62" t="s">
        <v>18</v>
      </c>
      <c r="C176" s="1121" t="s">
        <v>187</v>
      </c>
      <c r="D176" s="1122"/>
      <c r="E176" s="1122"/>
      <c r="F176" s="1123"/>
    </row>
    <row r="177" spans="2:6" ht="16.5" thickBot="1" x14ac:dyDescent="0.3">
      <c r="B177" s="62" t="s">
        <v>19</v>
      </c>
      <c r="C177" s="48">
        <v>15</v>
      </c>
      <c r="D177" s="48">
        <v>15</v>
      </c>
      <c r="E177" s="48">
        <v>15</v>
      </c>
      <c r="F177" s="48">
        <v>15</v>
      </c>
    </row>
    <row r="178" spans="2:6" ht="15.75" x14ac:dyDescent="0.25">
      <c r="B178" s="998"/>
      <c r="C178" s="44">
        <v>2018</v>
      </c>
      <c r="D178" s="44">
        <v>2019</v>
      </c>
      <c r="E178" s="44">
        <v>2020</v>
      </c>
      <c r="F178" s="44">
        <v>2021</v>
      </c>
    </row>
    <row r="179" spans="2:6" ht="16.5" thickBot="1" x14ac:dyDescent="0.3">
      <c r="B179" s="999"/>
      <c r="C179" s="45" t="s">
        <v>10</v>
      </c>
      <c r="D179" s="45" t="s">
        <v>11</v>
      </c>
      <c r="E179" s="45" t="s">
        <v>11</v>
      </c>
      <c r="F179" s="45" t="s">
        <v>11</v>
      </c>
    </row>
    <row r="180" spans="2:6" ht="16.5" thickBot="1" x14ac:dyDescent="0.3">
      <c r="B180" s="62" t="s">
        <v>20</v>
      </c>
      <c r="C180" s="48">
        <v>12500</v>
      </c>
      <c r="D180" s="48">
        <v>12500</v>
      </c>
      <c r="E180" s="48">
        <v>12500</v>
      </c>
      <c r="F180" s="48">
        <v>12500</v>
      </c>
    </row>
    <row r="181" spans="2:6" ht="16.5" thickBot="1" x14ac:dyDescent="0.3">
      <c r="B181" s="62" t="s">
        <v>21</v>
      </c>
      <c r="C181" s="48">
        <f>C180/C177</f>
        <v>833.33333333333337</v>
      </c>
      <c r="D181" s="48">
        <f>D180/D177</f>
        <v>833.33333333333337</v>
      </c>
      <c r="E181" s="48">
        <f>E180/E177</f>
        <v>833.33333333333337</v>
      </c>
      <c r="F181" s="48">
        <f>F180/F177</f>
        <v>833.33333333333337</v>
      </c>
    </row>
    <row r="182" spans="2:6" ht="16.5" thickBot="1" x14ac:dyDescent="0.3">
      <c r="B182" s="62" t="s">
        <v>22</v>
      </c>
      <c r="C182" s="70"/>
      <c r="D182" s="49">
        <f>D177/C177-1</f>
        <v>0</v>
      </c>
      <c r="E182" s="49">
        <f>E177/D177-1</f>
        <v>0</v>
      </c>
      <c r="F182" s="49">
        <f>F177/E177-1</f>
        <v>0</v>
      </c>
    </row>
    <row r="183" spans="2:6" ht="16.5" thickBot="1" x14ac:dyDescent="0.3">
      <c r="B183" s="62" t="s">
        <v>24</v>
      </c>
      <c r="C183" s="70"/>
      <c r="D183" s="49">
        <f>D180/C180-1</f>
        <v>0</v>
      </c>
      <c r="E183" s="49">
        <f t="shared" ref="E183:F184" si="15">E180/D180-1</f>
        <v>0</v>
      </c>
      <c r="F183" s="49">
        <f t="shared" si="15"/>
        <v>0</v>
      </c>
    </row>
    <row r="184" spans="2:6" ht="16.5" thickBot="1" x14ac:dyDescent="0.3">
      <c r="B184" s="62" t="s">
        <v>25</v>
      </c>
      <c r="C184" s="70"/>
      <c r="D184" s="49">
        <f>D181/C181-1</f>
        <v>0</v>
      </c>
      <c r="E184" s="49">
        <f t="shared" si="15"/>
        <v>0</v>
      </c>
      <c r="F184" s="49">
        <f t="shared" si="15"/>
        <v>0</v>
      </c>
    </row>
    <row r="185" spans="2:6" ht="16.5" thickBot="1" x14ac:dyDescent="0.3">
      <c r="B185" s="1124" t="s">
        <v>188</v>
      </c>
      <c r="C185" s="1125"/>
      <c r="D185" s="1125"/>
      <c r="E185" s="1125"/>
      <c r="F185" s="1126"/>
    </row>
    <row r="186" spans="2:6" ht="15.75" x14ac:dyDescent="0.25">
      <c r="B186" s="1136"/>
      <c r="C186" s="44">
        <v>2018</v>
      </c>
      <c r="D186" s="44">
        <v>2019</v>
      </c>
      <c r="E186" s="44">
        <v>2020</v>
      </c>
      <c r="F186" s="44">
        <v>2021</v>
      </c>
    </row>
    <row r="187" spans="2:6" ht="16.5" thickBot="1" x14ac:dyDescent="0.3">
      <c r="B187" s="1137"/>
      <c r="C187" s="45" t="s">
        <v>10</v>
      </c>
      <c r="D187" s="45" t="s">
        <v>11</v>
      </c>
      <c r="E187" s="45" t="s">
        <v>11</v>
      </c>
      <c r="F187" s="45" t="s">
        <v>11</v>
      </c>
    </row>
    <row r="188" spans="2:6" ht="16.5" thickBot="1" x14ac:dyDescent="0.3">
      <c r="B188" s="78" t="s">
        <v>26</v>
      </c>
      <c r="C188" s="51"/>
      <c r="D188" s="51"/>
      <c r="E188" s="51"/>
      <c r="F188" s="51"/>
    </row>
    <row r="189" spans="2:6" ht="16.5" thickBot="1" x14ac:dyDescent="0.3">
      <c r="B189" s="78" t="s">
        <v>28</v>
      </c>
      <c r="C189" s="51"/>
      <c r="D189" s="51"/>
      <c r="E189" s="51"/>
      <c r="F189" s="51"/>
    </row>
    <row r="190" spans="2:6" ht="16.5" thickBot="1" x14ac:dyDescent="0.3">
      <c r="B190" s="78" t="s">
        <v>30</v>
      </c>
      <c r="C190" s="53">
        <v>12500</v>
      </c>
      <c r="D190" s="51">
        <v>12500</v>
      </c>
      <c r="E190" s="51">
        <v>12500</v>
      </c>
      <c r="F190" s="51">
        <v>12500</v>
      </c>
    </row>
    <row r="191" spans="2:6" ht="16.5" thickBot="1" x14ac:dyDescent="0.3">
      <c r="B191" s="78" t="s">
        <v>32</v>
      </c>
      <c r="C191" s="53"/>
      <c r="D191" s="51"/>
      <c r="E191" s="51"/>
      <c r="F191" s="51"/>
    </row>
    <row r="192" spans="2:6" ht="16.5" thickBot="1" x14ac:dyDescent="0.3">
      <c r="B192" s="78" t="s">
        <v>34</v>
      </c>
      <c r="C192" s="53"/>
      <c r="D192" s="51"/>
      <c r="E192" s="51"/>
      <c r="F192" s="51"/>
    </row>
    <row r="193" spans="2:6" ht="16.5" thickBot="1" x14ac:dyDescent="0.3">
      <c r="B193" s="78" t="s">
        <v>36</v>
      </c>
      <c r="C193" s="53"/>
      <c r="D193" s="51"/>
      <c r="E193" s="51"/>
      <c r="F193" s="51"/>
    </row>
    <row r="194" spans="2:6" ht="16.5" thickBot="1" x14ac:dyDescent="0.3">
      <c r="B194" s="78" t="s">
        <v>38</v>
      </c>
      <c r="C194" s="53"/>
      <c r="D194" s="51"/>
      <c r="E194" s="51"/>
      <c r="F194" s="51"/>
    </row>
    <row r="195" spans="2:6" ht="24" customHeight="1" thickBot="1" x14ac:dyDescent="0.3">
      <c r="B195" s="80" t="s">
        <v>138</v>
      </c>
      <c r="C195" s="53">
        <f>C194+C193+C192+C191+C190+C189+C188</f>
        <v>12500</v>
      </c>
      <c r="D195" s="53">
        <f>D194+D193+D192+D191+D190+D189+D188</f>
        <v>12500</v>
      </c>
      <c r="E195" s="53">
        <f>E194+E193+E192+E191+E190+E189+E188</f>
        <v>12500</v>
      </c>
      <c r="F195" s="53">
        <f>F194+F193+F192+F191+F190+F189+F188</f>
        <v>12500</v>
      </c>
    </row>
    <row r="196" spans="2:6" ht="16.5" thickBot="1" x14ac:dyDescent="0.3">
      <c r="B196" s="46" t="s">
        <v>41</v>
      </c>
      <c r="C196" s="47">
        <f>IF(C195-C180=0,0,"Error")</f>
        <v>0</v>
      </c>
      <c r="D196" s="47">
        <f>IF(D195-D180=0,0,"Error")</f>
        <v>0</v>
      </c>
      <c r="E196" s="47">
        <f>IF(E195-E180=0,0,"Error")</f>
        <v>0</v>
      </c>
      <c r="F196" s="47">
        <f>IF(F195-F180=0,0,"Error")</f>
        <v>0</v>
      </c>
    </row>
    <row r="197" spans="2:6" ht="16.5" thickBot="1" x14ac:dyDescent="0.3">
      <c r="B197" s="1127" t="s">
        <v>63</v>
      </c>
      <c r="C197" s="1128"/>
      <c r="D197" s="1128"/>
      <c r="E197" s="1128"/>
      <c r="F197" s="1129"/>
    </row>
    <row r="198" spans="2:6" ht="30.6" customHeight="1" thickBot="1" x14ac:dyDescent="0.3">
      <c r="B198" s="1127" t="s">
        <v>56</v>
      </c>
      <c r="C198" s="1128"/>
      <c r="D198" s="1128"/>
      <c r="E198" s="1128"/>
      <c r="F198" s="1129"/>
    </row>
    <row r="199" spans="2:6" ht="16.149999999999999" customHeight="1" thickBot="1" x14ac:dyDescent="0.3">
      <c r="B199" s="67" t="s">
        <v>189</v>
      </c>
      <c r="C199" s="1130" t="s">
        <v>190</v>
      </c>
      <c r="D199" s="1131"/>
      <c r="E199" s="1131"/>
      <c r="F199" s="1132"/>
    </row>
    <row r="200" spans="2:6" ht="16.149999999999999" customHeight="1" thickBot="1" x14ac:dyDescent="0.3">
      <c r="B200" s="43" t="s">
        <v>137</v>
      </c>
      <c r="C200" s="1115" t="s">
        <v>185</v>
      </c>
      <c r="D200" s="1116"/>
      <c r="E200" s="1116"/>
      <c r="F200" s="1117"/>
    </row>
    <row r="201" spans="2:6" ht="16.5" thickBot="1" x14ac:dyDescent="0.3">
      <c r="B201" s="62" t="s">
        <v>17</v>
      </c>
      <c r="C201" s="1133" t="s">
        <v>186</v>
      </c>
      <c r="D201" s="1134"/>
      <c r="E201" s="1134"/>
      <c r="F201" s="1135"/>
    </row>
    <row r="202" spans="2:6" ht="16.5" thickBot="1" x14ac:dyDescent="0.3">
      <c r="B202" s="62" t="s">
        <v>18</v>
      </c>
      <c r="C202" s="1121" t="s">
        <v>191</v>
      </c>
      <c r="D202" s="1122"/>
      <c r="E202" s="1122"/>
      <c r="F202" s="1123"/>
    </row>
    <row r="203" spans="2:6" x14ac:dyDescent="0.25">
      <c r="B203" s="998"/>
      <c r="C203" s="63">
        <v>2018</v>
      </c>
      <c r="D203" s="63">
        <v>2019</v>
      </c>
      <c r="E203" s="63">
        <v>2020</v>
      </c>
      <c r="F203" s="63">
        <v>2021</v>
      </c>
    </row>
    <row r="204" spans="2:6" ht="15.75" thickBot="1" x14ac:dyDescent="0.3">
      <c r="B204" s="999"/>
      <c r="C204" s="64" t="s">
        <v>10</v>
      </c>
      <c r="D204" s="64" t="s">
        <v>11</v>
      </c>
      <c r="E204" s="64" t="s">
        <v>11</v>
      </c>
      <c r="F204" s="64" t="s">
        <v>11</v>
      </c>
    </row>
    <row r="205" spans="2:6" ht="16.5" thickBot="1" x14ac:dyDescent="0.3">
      <c r="B205" s="62" t="s">
        <v>19</v>
      </c>
      <c r="C205" s="48"/>
      <c r="D205" s="48"/>
      <c r="E205" s="48"/>
      <c r="F205" s="48"/>
    </row>
    <row r="206" spans="2:6" ht="16.5" thickBot="1" x14ac:dyDescent="0.3">
      <c r="B206" s="62" t="s">
        <v>20</v>
      </c>
      <c r="C206" s="48"/>
      <c r="D206" s="48"/>
      <c r="E206" s="48"/>
      <c r="F206" s="48"/>
    </row>
    <row r="207" spans="2:6" ht="16.5" thickBot="1" x14ac:dyDescent="0.3">
      <c r="B207" s="62" t="s">
        <v>21</v>
      </c>
      <c r="C207" s="48" t="e">
        <f>C206/C205</f>
        <v>#DIV/0!</v>
      </c>
      <c r="D207" s="48" t="e">
        <f t="shared" ref="D207:F207" si="16">D206/D205</f>
        <v>#DIV/0!</v>
      </c>
      <c r="E207" s="48" t="e">
        <f t="shared" si="16"/>
        <v>#DIV/0!</v>
      </c>
      <c r="F207" s="48" t="e">
        <f t="shared" si="16"/>
        <v>#DIV/0!</v>
      </c>
    </row>
    <row r="208" spans="2:6" ht="16.5" thickBot="1" x14ac:dyDescent="0.3">
      <c r="B208" s="62" t="s">
        <v>22</v>
      </c>
      <c r="C208" s="70" t="s">
        <v>23</v>
      </c>
      <c r="D208" s="49" t="e">
        <f>D205/C205-1</f>
        <v>#DIV/0!</v>
      </c>
      <c r="E208" s="49" t="e">
        <f t="shared" ref="E208:F210" si="17">E205/D205-1</f>
        <v>#DIV/0!</v>
      </c>
      <c r="F208" s="49" t="e">
        <f t="shared" si="17"/>
        <v>#DIV/0!</v>
      </c>
    </row>
    <row r="209" spans="2:6" ht="16.5" thickBot="1" x14ac:dyDescent="0.3">
      <c r="B209" s="62" t="s">
        <v>24</v>
      </c>
      <c r="C209" s="70" t="s">
        <v>23</v>
      </c>
      <c r="D209" s="49" t="e">
        <f>D206/C206-1</f>
        <v>#DIV/0!</v>
      </c>
      <c r="E209" s="49" t="e">
        <f t="shared" si="17"/>
        <v>#DIV/0!</v>
      </c>
      <c r="F209" s="49" t="e">
        <f t="shared" si="17"/>
        <v>#DIV/0!</v>
      </c>
    </row>
    <row r="210" spans="2:6" ht="16.149999999999999" customHeight="1" thickBot="1" x14ac:dyDescent="0.3">
      <c r="B210" s="62" t="s">
        <v>25</v>
      </c>
      <c r="C210" s="70" t="s">
        <v>23</v>
      </c>
      <c r="D210" s="49" t="e">
        <f>D207/C207-1</f>
        <v>#DIV/0!</v>
      </c>
      <c r="E210" s="49" t="e">
        <f t="shared" si="17"/>
        <v>#DIV/0!</v>
      </c>
      <c r="F210" s="49" t="e">
        <f t="shared" si="17"/>
        <v>#DIV/0!</v>
      </c>
    </row>
    <row r="211" spans="2:6" ht="16.5" thickBot="1" x14ac:dyDescent="0.3">
      <c r="B211" s="1124" t="s">
        <v>192</v>
      </c>
      <c r="C211" s="1125"/>
      <c r="D211" s="1125"/>
      <c r="E211" s="1125"/>
      <c r="F211" s="1126"/>
    </row>
    <row r="212" spans="2:6" x14ac:dyDescent="0.25">
      <c r="B212" s="998"/>
      <c r="C212" s="63">
        <v>2018</v>
      </c>
      <c r="D212" s="63">
        <v>2019</v>
      </c>
      <c r="E212" s="63">
        <v>2020</v>
      </c>
      <c r="F212" s="63">
        <v>2021</v>
      </c>
    </row>
    <row r="213" spans="2:6" ht="15.75" thickBot="1" x14ac:dyDescent="0.3">
      <c r="B213" s="999"/>
      <c r="C213" s="64" t="s">
        <v>10</v>
      </c>
      <c r="D213" s="64" t="s">
        <v>11</v>
      </c>
      <c r="E213" s="64" t="s">
        <v>11</v>
      </c>
      <c r="F213" s="64" t="s">
        <v>11</v>
      </c>
    </row>
    <row r="214" spans="2:6" ht="16.5" thickBot="1" x14ac:dyDescent="0.3">
      <c r="B214" s="65" t="s">
        <v>170</v>
      </c>
      <c r="C214" s="51"/>
      <c r="D214" s="51"/>
      <c r="E214" s="51"/>
      <c r="F214" s="51"/>
    </row>
    <row r="215" spans="2:6" ht="16.5" thickBot="1" x14ac:dyDescent="0.3">
      <c r="B215" s="65" t="s">
        <v>59</v>
      </c>
      <c r="C215" s="53"/>
      <c r="D215" s="51"/>
      <c r="E215" s="51"/>
      <c r="F215" s="51"/>
    </row>
    <row r="216" spans="2:6" ht="16.5" customHeight="1" thickBot="1" x14ac:dyDescent="0.3">
      <c r="B216" s="66" t="s">
        <v>138</v>
      </c>
      <c r="C216" s="53">
        <f>C215+C214</f>
        <v>0</v>
      </c>
      <c r="D216" s="53">
        <f t="shared" ref="D216:F216" si="18">D215+D214</f>
        <v>0</v>
      </c>
      <c r="E216" s="53">
        <f t="shared" si="18"/>
        <v>0</v>
      </c>
      <c r="F216" s="53">
        <f t="shared" si="18"/>
        <v>0</v>
      </c>
    </row>
    <row r="217" spans="2:6" x14ac:dyDescent="0.25">
      <c r="B217" s="1015" t="s">
        <v>193</v>
      </c>
      <c r="C217" s="951"/>
      <c r="D217" s="952"/>
      <c r="E217" s="952"/>
      <c r="F217" s="953"/>
    </row>
    <row r="218" spans="2:6" x14ac:dyDescent="0.25">
      <c r="B218" s="1016"/>
      <c r="C218" s="954"/>
      <c r="D218" s="955"/>
      <c r="E218" s="955"/>
      <c r="F218" s="956"/>
    </row>
    <row r="219" spans="2:6" ht="15.75" thickBot="1" x14ac:dyDescent="0.3">
      <c r="B219" s="1017"/>
      <c r="C219" s="957"/>
      <c r="D219" s="958"/>
      <c r="E219" s="958"/>
      <c r="F219" s="959"/>
    </row>
    <row r="220" spans="2:6" ht="16.5" thickBot="1" x14ac:dyDescent="0.3">
      <c r="B220" s="1127" t="s">
        <v>63</v>
      </c>
      <c r="C220" s="1128"/>
      <c r="D220" s="1128"/>
      <c r="E220" s="1128"/>
      <c r="F220" s="1129"/>
    </row>
    <row r="221" spans="2:6" ht="16.5" thickBot="1" x14ac:dyDescent="0.3">
      <c r="B221" s="1127" t="s">
        <v>64</v>
      </c>
      <c r="C221" s="1128"/>
      <c r="D221" s="1128"/>
      <c r="E221" s="1128"/>
      <c r="F221" s="1129"/>
    </row>
    <row r="222" spans="2:6" ht="16.5" thickBot="1" x14ac:dyDescent="0.3">
      <c r="B222" s="67" t="s">
        <v>189</v>
      </c>
      <c r="C222" s="1130" t="s">
        <v>190</v>
      </c>
      <c r="D222" s="1131"/>
      <c r="E222" s="1131"/>
      <c r="F222" s="1132"/>
    </row>
    <row r="223" spans="2:6" ht="16.5" thickBot="1" x14ac:dyDescent="0.3">
      <c r="B223" s="43" t="s">
        <v>137</v>
      </c>
      <c r="C223" s="1115" t="s">
        <v>185</v>
      </c>
      <c r="D223" s="1116"/>
      <c r="E223" s="1116"/>
      <c r="F223" s="1117"/>
    </row>
    <row r="224" spans="2:6" ht="16.5" thickBot="1" x14ac:dyDescent="0.3">
      <c r="B224" s="62" t="s">
        <v>17</v>
      </c>
      <c r="C224" s="1133" t="s">
        <v>186</v>
      </c>
      <c r="D224" s="1134"/>
      <c r="E224" s="1134"/>
      <c r="F224" s="1135"/>
    </row>
    <row r="225" spans="2:6" ht="16.5" thickBot="1" x14ac:dyDescent="0.3">
      <c r="B225" s="62" t="s">
        <v>18</v>
      </c>
      <c r="C225" s="1121" t="s">
        <v>191</v>
      </c>
      <c r="D225" s="1122"/>
      <c r="E225" s="1122"/>
      <c r="F225" s="1123"/>
    </row>
    <row r="226" spans="2:6" x14ac:dyDescent="0.25">
      <c r="B226" s="998"/>
      <c r="C226" s="63">
        <v>2018</v>
      </c>
      <c r="D226" s="63">
        <v>2019</v>
      </c>
      <c r="E226" s="63">
        <v>2020</v>
      </c>
      <c r="F226" s="63">
        <v>2021</v>
      </c>
    </row>
    <row r="227" spans="2:6" ht="15.75" thickBot="1" x14ac:dyDescent="0.3">
      <c r="B227" s="999"/>
      <c r="C227" s="64" t="s">
        <v>10</v>
      </c>
      <c r="D227" s="64" t="s">
        <v>11</v>
      </c>
      <c r="E227" s="64" t="s">
        <v>11</v>
      </c>
      <c r="F227" s="64" t="s">
        <v>11</v>
      </c>
    </row>
    <row r="228" spans="2:6" ht="16.5" thickBot="1" x14ac:dyDescent="0.3">
      <c r="B228" s="62" t="s">
        <v>19</v>
      </c>
      <c r="C228" s="48"/>
      <c r="D228" s="48"/>
      <c r="E228" s="48"/>
      <c r="F228" s="48"/>
    </row>
    <row r="229" spans="2:6" ht="16.5" thickBot="1" x14ac:dyDescent="0.3">
      <c r="B229" s="62" t="s">
        <v>20</v>
      </c>
      <c r="C229" s="48"/>
      <c r="D229" s="48"/>
      <c r="E229" s="48"/>
      <c r="F229" s="48"/>
    </row>
    <row r="230" spans="2:6" ht="16.5" thickBot="1" x14ac:dyDescent="0.3">
      <c r="B230" s="62" t="s">
        <v>21</v>
      </c>
      <c r="C230" s="48" t="e">
        <f>C229/C228</f>
        <v>#DIV/0!</v>
      </c>
      <c r="D230" s="48" t="e">
        <f t="shared" ref="D230:F230" si="19">D229/D228</f>
        <v>#DIV/0!</v>
      </c>
      <c r="E230" s="48" t="e">
        <f t="shared" si="19"/>
        <v>#DIV/0!</v>
      </c>
      <c r="F230" s="48" t="e">
        <f t="shared" si="19"/>
        <v>#DIV/0!</v>
      </c>
    </row>
    <row r="231" spans="2:6" ht="16.5" thickBot="1" x14ac:dyDescent="0.3">
      <c r="B231" s="62" t="s">
        <v>22</v>
      </c>
      <c r="C231" s="70" t="s">
        <v>23</v>
      </c>
      <c r="D231" s="49" t="e">
        <f>D228/C228-1</f>
        <v>#DIV/0!</v>
      </c>
      <c r="E231" s="49" t="e">
        <f t="shared" ref="E231:F233" si="20">E228/D228-1</f>
        <v>#DIV/0!</v>
      </c>
      <c r="F231" s="49" t="e">
        <f t="shared" si="20"/>
        <v>#DIV/0!</v>
      </c>
    </row>
    <row r="232" spans="2:6" ht="16.5" thickBot="1" x14ac:dyDescent="0.3">
      <c r="B232" s="62" t="s">
        <v>24</v>
      </c>
      <c r="C232" s="70" t="s">
        <v>23</v>
      </c>
      <c r="D232" s="49" t="e">
        <f>D229/C229-1</f>
        <v>#DIV/0!</v>
      </c>
      <c r="E232" s="49" t="e">
        <f t="shared" si="20"/>
        <v>#DIV/0!</v>
      </c>
      <c r="F232" s="49" t="e">
        <f t="shared" si="20"/>
        <v>#DIV/0!</v>
      </c>
    </row>
    <row r="233" spans="2:6" ht="16.5" thickBot="1" x14ac:dyDescent="0.3">
      <c r="B233" s="62" t="s">
        <v>25</v>
      </c>
      <c r="C233" s="70" t="s">
        <v>23</v>
      </c>
      <c r="D233" s="49" t="e">
        <f>D230/C230-1</f>
        <v>#DIV/0!</v>
      </c>
      <c r="E233" s="49" t="e">
        <f t="shared" si="20"/>
        <v>#DIV/0!</v>
      </c>
      <c r="F233" s="49" t="e">
        <f t="shared" si="20"/>
        <v>#DIV/0!</v>
      </c>
    </row>
    <row r="234" spans="2:6" ht="16.5" thickBot="1" x14ac:dyDescent="0.3">
      <c r="B234" s="1124" t="s">
        <v>192</v>
      </c>
      <c r="C234" s="1125"/>
      <c r="D234" s="1125"/>
      <c r="E234" s="1125"/>
      <c r="F234" s="1126"/>
    </row>
    <row r="235" spans="2:6" x14ac:dyDescent="0.25">
      <c r="B235" s="998"/>
      <c r="C235" s="63">
        <v>2018</v>
      </c>
      <c r="D235" s="63">
        <v>2019</v>
      </c>
      <c r="E235" s="63">
        <v>2020</v>
      </c>
      <c r="F235" s="63">
        <v>2021</v>
      </c>
    </row>
    <row r="236" spans="2:6" ht="15.75" thickBot="1" x14ac:dyDescent="0.3">
      <c r="B236" s="999"/>
      <c r="C236" s="64" t="s">
        <v>10</v>
      </c>
      <c r="D236" s="64" t="s">
        <v>11</v>
      </c>
      <c r="E236" s="64" t="s">
        <v>11</v>
      </c>
      <c r="F236" s="64" t="s">
        <v>11</v>
      </c>
    </row>
    <row r="237" spans="2:6" ht="16.5" thickBot="1" x14ac:dyDescent="0.3">
      <c r="B237" s="65" t="s">
        <v>58</v>
      </c>
      <c r="C237" s="51"/>
      <c r="D237" s="51"/>
      <c r="E237" s="51"/>
      <c r="F237" s="51"/>
    </row>
    <row r="238" spans="2:6" ht="16.5" thickBot="1" x14ac:dyDescent="0.3">
      <c r="B238" s="65" t="s">
        <v>59</v>
      </c>
      <c r="C238" s="53"/>
      <c r="D238" s="51"/>
      <c r="E238" s="51"/>
      <c r="F238" s="51"/>
    </row>
    <row r="239" spans="2:6" ht="19.899999999999999" customHeight="1" thickBot="1" x14ac:dyDescent="0.3">
      <c r="B239" s="66" t="s">
        <v>138</v>
      </c>
      <c r="C239" s="53">
        <f>C238+C237</f>
        <v>0</v>
      </c>
      <c r="D239" s="53">
        <f t="shared" ref="D239:F239" si="21">D238+D237</f>
        <v>0</v>
      </c>
      <c r="E239" s="53">
        <f t="shared" si="21"/>
        <v>0</v>
      </c>
      <c r="F239" s="53">
        <f t="shared" si="21"/>
        <v>0</v>
      </c>
    </row>
    <row r="240" spans="2:6" ht="15.6" customHeight="1" x14ac:dyDescent="0.25">
      <c r="B240" s="1015" t="s">
        <v>193</v>
      </c>
      <c r="C240" s="951"/>
      <c r="D240" s="952"/>
      <c r="E240" s="952"/>
      <c r="F240" s="953"/>
    </row>
    <row r="241" spans="2:6" ht="13.9" customHeight="1" x14ac:dyDescent="0.25">
      <c r="B241" s="1016"/>
      <c r="C241" s="954"/>
      <c r="D241" s="955"/>
      <c r="E241" s="955"/>
      <c r="F241" s="956"/>
    </row>
    <row r="242" spans="2:6" ht="19.899999999999999" customHeight="1" thickBot="1" x14ac:dyDescent="0.3">
      <c r="B242" s="1017"/>
      <c r="C242" s="957"/>
      <c r="D242" s="958"/>
      <c r="E242" s="958"/>
      <c r="F242" s="959"/>
    </row>
    <row r="243" spans="2:6" ht="46.9" customHeight="1" thickBot="1" x14ac:dyDescent="0.3">
      <c r="B243" s="21" t="s">
        <v>78</v>
      </c>
      <c r="C243" s="1115" t="s">
        <v>194</v>
      </c>
      <c r="D243" s="1116"/>
      <c r="E243" s="1116"/>
      <c r="F243" s="1117"/>
    </row>
    <row r="244" spans="2:6" ht="15.75" thickBot="1" x14ac:dyDescent="0.3">
      <c r="B244" s="927" t="s">
        <v>195</v>
      </c>
      <c r="C244" s="928"/>
      <c r="D244" s="928"/>
      <c r="E244" s="928"/>
      <c r="F244" s="929"/>
    </row>
    <row r="245" spans="2:6" ht="47.45" customHeight="1" thickBot="1" x14ac:dyDescent="0.3">
      <c r="B245" s="62" t="s">
        <v>196</v>
      </c>
      <c r="C245" s="41">
        <v>0.95</v>
      </c>
      <c r="D245" s="41">
        <v>1</v>
      </c>
      <c r="E245" s="41">
        <v>1</v>
      </c>
      <c r="F245" s="41">
        <v>1</v>
      </c>
    </row>
    <row r="246" spans="2:6" ht="30.75" thickBot="1" x14ac:dyDescent="0.3">
      <c r="B246" s="62" t="s">
        <v>197</v>
      </c>
      <c r="C246" s="41">
        <v>0.95</v>
      </c>
      <c r="D246" s="41">
        <v>0.96</v>
      </c>
      <c r="E246" s="41">
        <v>0.97</v>
      </c>
      <c r="F246" s="41">
        <v>0.97</v>
      </c>
    </row>
    <row r="247" spans="2:6" ht="16.5" thickBot="1" x14ac:dyDescent="0.3">
      <c r="B247" s="1127" t="s">
        <v>104</v>
      </c>
      <c r="C247" s="1128"/>
      <c r="D247" s="1128"/>
      <c r="E247" s="1128"/>
      <c r="F247" s="1129"/>
    </row>
    <row r="248" spans="2:6" ht="33.6" customHeight="1" thickBot="1" x14ac:dyDescent="0.3">
      <c r="B248" s="79" t="s">
        <v>198</v>
      </c>
      <c r="C248" s="1115" t="s">
        <v>199</v>
      </c>
      <c r="D248" s="1116"/>
      <c r="E248" s="1116"/>
      <c r="F248" s="1117"/>
    </row>
    <row r="249" spans="2:6" ht="33" customHeight="1" thickBot="1" x14ac:dyDescent="0.3">
      <c r="B249" s="62" t="s">
        <v>17</v>
      </c>
      <c r="C249" s="1118" t="s">
        <v>200</v>
      </c>
      <c r="D249" s="1119"/>
      <c r="E249" s="1119"/>
      <c r="F249" s="1120"/>
    </row>
    <row r="250" spans="2:6" ht="16.5" thickBot="1" x14ac:dyDescent="0.3">
      <c r="B250" s="62" t="s">
        <v>18</v>
      </c>
      <c r="C250" s="1121" t="s">
        <v>201</v>
      </c>
      <c r="D250" s="1122"/>
      <c r="E250" s="1122"/>
      <c r="F250" s="1123"/>
    </row>
    <row r="251" spans="2:6" ht="16.5" thickBot="1" x14ac:dyDescent="0.3">
      <c r="B251" s="62" t="s">
        <v>19</v>
      </c>
      <c r="C251" s="48">
        <v>62</v>
      </c>
      <c r="D251" s="48">
        <v>62</v>
      </c>
      <c r="E251" s="48">
        <v>62</v>
      </c>
      <c r="F251" s="48">
        <v>62</v>
      </c>
    </row>
    <row r="252" spans="2:6" ht="15.75" x14ac:dyDescent="0.25">
      <c r="B252" s="998"/>
      <c r="C252" s="44">
        <v>2018</v>
      </c>
      <c r="D252" s="44">
        <v>2019</v>
      </c>
      <c r="E252" s="44">
        <v>2020</v>
      </c>
      <c r="F252" s="44">
        <v>2021</v>
      </c>
    </row>
    <row r="253" spans="2:6" ht="16.5" thickBot="1" x14ac:dyDescent="0.3">
      <c r="B253" s="999"/>
      <c r="C253" s="45" t="s">
        <v>10</v>
      </c>
      <c r="D253" s="45" t="s">
        <v>11</v>
      </c>
      <c r="E253" s="45" t="s">
        <v>11</v>
      </c>
      <c r="F253" s="45" t="s">
        <v>11</v>
      </c>
    </row>
    <row r="254" spans="2:6" ht="27" customHeight="1" thickBot="1" x14ac:dyDescent="0.3">
      <c r="B254" s="62" t="s">
        <v>20</v>
      </c>
      <c r="C254" s="48">
        <v>51000</v>
      </c>
      <c r="D254" s="48">
        <v>51500</v>
      </c>
      <c r="E254" s="48">
        <v>51500</v>
      </c>
      <c r="F254" s="48">
        <v>52500</v>
      </c>
    </row>
    <row r="255" spans="2:6" ht="21.6" customHeight="1" thickBot="1" x14ac:dyDescent="0.3">
      <c r="B255" s="62" t="s">
        <v>21</v>
      </c>
      <c r="C255" s="48">
        <f>C254/C251</f>
        <v>822.58064516129036</v>
      </c>
      <c r="D255" s="48">
        <f>D254/D251</f>
        <v>830.64516129032256</v>
      </c>
      <c r="E255" s="48">
        <f>E254/E251</f>
        <v>830.64516129032256</v>
      </c>
      <c r="F255" s="48">
        <f>F254/F251</f>
        <v>846.77419354838707</v>
      </c>
    </row>
    <row r="256" spans="2:6" ht="16.5" thickBot="1" x14ac:dyDescent="0.3">
      <c r="B256" s="62" t="s">
        <v>22</v>
      </c>
      <c r="C256" s="70"/>
      <c r="D256" s="49">
        <f>D251/C251-1</f>
        <v>0</v>
      </c>
      <c r="E256" s="49">
        <f>E251/D251-1</f>
        <v>0</v>
      </c>
      <c r="F256" s="49">
        <f>F251/E251-1</f>
        <v>0</v>
      </c>
    </row>
    <row r="257" spans="2:6" ht="16.5" thickBot="1" x14ac:dyDescent="0.3">
      <c r="B257" s="62" t="s">
        <v>24</v>
      </c>
      <c r="C257" s="70"/>
      <c r="D257" s="49">
        <f>D254/C254-1</f>
        <v>9.8039215686274161E-3</v>
      </c>
      <c r="E257" s="49">
        <f t="shared" ref="E257:F258" si="22">E254/D254-1</f>
        <v>0</v>
      </c>
      <c r="F257" s="49">
        <f t="shared" si="22"/>
        <v>1.9417475728155331E-2</v>
      </c>
    </row>
    <row r="258" spans="2:6" ht="16.5" thickBot="1" x14ac:dyDescent="0.3">
      <c r="B258" s="62" t="s">
        <v>25</v>
      </c>
      <c r="C258" s="70"/>
      <c r="D258" s="49">
        <f>D255/C255-1</f>
        <v>9.8039215686274161E-3</v>
      </c>
      <c r="E258" s="49">
        <f t="shared" si="22"/>
        <v>0</v>
      </c>
      <c r="F258" s="49">
        <f t="shared" si="22"/>
        <v>1.9417475728155331E-2</v>
      </c>
    </row>
    <row r="259" spans="2:6" ht="16.5" thickBot="1" x14ac:dyDescent="0.3">
      <c r="B259" s="1124" t="s">
        <v>202</v>
      </c>
      <c r="C259" s="1125"/>
      <c r="D259" s="1125"/>
      <c r="E259" s="1125"/>
      <c r="F259" s="1126"/>
    </row>
    <row r="260" spans="2:6" ht="15.75" x14ac:dyDescent="0.25">
      <c r="B260" s="1113"/>
      <c r="C260" s="44">
        <v>2018</v>
      </c>
      <c r="D260" s="44">
        <v>2019</v>
      </c>
      <c r="E260" s="44">
        <v>2020</v>
      </c>
      <c r="F260" s="44">
        <v>2021</v>
      </c>
    </row>
    <row r="261" spans="2:6" ht="16.5" thickBot="1" x14ac:dyDescent="0.3">
      <c r="B261" s="1114"/>
      <c r="C261" s="45" t="s">
        <v>10</v>
      </c>
      <c r="D261" s="45" t="s">
        <v>11</v>
      </c>
      <c r="E261" s="45" t="s">
        <v>11</v>
      </c>
      <c r="F261" s="45" t="s">
        <v>11</v>
      </c>
    </row>
    <row r="262" spans="2:6" ht="16.5" thickBot="1" x14ac:dyDescent="0.3">
      <c r="B262" s="78" t="s">
        <v>26</v>
      </c>
      <c r="C262" s="51">
        <v>32200</v>
      </c>
      <c r="D262" s="51">
        <v>32200</v>
      </c>
      <c r="E262" s="51">
        <v>32200</v>
      </c>
      <c r="F262" s="51">
        <v>32200</v>
      </c>
    </row>
    <row r="263" spans="2:6" ht="16.5" thickBot="1" x14ac:dyDescent="0.3">
      <c r="B263" s="78" t="s">
        <v>28</v>
      </c>
      <c r="C263" s="51">
        <v>4800</v>
      </c>
      <c r="D263" s="51">
        <v>4800</v>
      </c>
      <c r="E263" s="51">
        <v>4800</v>
      </c>
      <c r="F263" s="51">
        <v>4800</v>
      </c>
    </row>
    <row r="264" spans="2:6" ht="16.5" thickBot="1" x14ac:dyDescent="0.3">
      <c r="B264" s="78" t="s">
        <v>30</v>
      </c>
      <c r="C264" s="53">
        <v>14000</v>
      </c>
      <c r="D264" s="51">
        <v>14500</v>
      </c>
      <c r="E264" s="51">
        <v>14500</v>
      </c>
      <c r="F264" s="51">
        <v>15500</v>
      </c>
    </row>
    <row r="265" spans="2:6" ht="16.5" thickBot="1" x14ac:dyDescent="0.3">
      <c r="B265" s="78" t="s">
        <v>32</v>
      </c>
      <c r="C265" s="53"/>
      <c r="D265" s="51"/>
      <c r="E265" s="51"/>
      <c r="F265" s="51"/>
    </row>
    <row r="266" spans="2:6" ht="16.5" thickBot="1" x14ac:dyDescent="0.3">
      <c r="B266" s="78" t="s">
        <v>34</v>
      </c>
      <c r="C266" s="53"/>
      <c r="D266" s="51"/>
      <c r="E266" s="51"/>
      <c r="F266" s="51"/>
    </row>
    <row r="267" spans="2:6" ht="16.5" thickBot="1" x14ac:dyDescent="0.3">
      <c r="B267" s="78" t="s">
        <v>36</v>
      </c>
      <c r="C267" s="53"/>
      <c r="D267" s="51"/>
      <c r="E267" s="51"/>
      <c r="F267" s="51"/>
    </row>
    <row r="268" spans="2:6" ht="16.5" thickBot="1" x14ac:dyDescent="0.3">
      <c r="B268" s="78" t="s">
        <v>38</v>
      </c>
      <c r="C268" s="53"/>
      <c r="D268" s="51"/>
      <c r="E268" s="51"/>
      <c r="F268" s="51"/>
    </row>
    <row r="269" spans="2:6" ht="16.5" thickBot="1" x14ac:dyDescent="0.3">
      <c r="B269" s="80" t="s">
        <v>139</v>
      </c>
      <c r="C269" s="53">
        <f>C268+C267+C266+C265+C264+C263+C262</f>
        <v>51000</v>
      </c>
      <c r="D269" s="53">
        <f>D268+D267+D266+D265+D264+D263+D262</f>
        <v>51500</v>
      </c>
      <c r="E269" s="53">
        <f>E268+E267+E266+E265+E264+E263+E262</f>
        <v>51500</v>
      </c>
      <c r="F269" s="53">
        <f>F268+F267+F266+F265+F264+F263+F262</f>
        <v>52500</v>
      </c>
    </row>
    <row r="270" spans="2:6" ht="16.149999999999999" customHeight="1" thickBot="1" x14ac:dyDescent="0.3">
      <c r="B270" s="46" t="s">
        <v>41</v>
      </c>
      <c r="C270" s="47">
        <f>IF(C269-C254=0,0,"Error")</f>
        <v>0</v>
      </c>
      <c r="D270" s="47">
        <f>IF(D269-D254=0,0,"Error")</f>
        <v>0</v>
      </c>
      <c r="E270" s="47">
        <f>IF(E269-E254=0,0,"Error")</f>
        <v>0</v>
      </c>
      <c r="F270" s="47">
        <f>IF(F269-F254=0,0,"Error")</f>
        <v>0</v>
      </c>
    </row>
    <row r="271" spans="2:6" ht="16.5" thickBot="1" x14ac:dyDescent="0.3">
      <c r="B271" s="1127" t="s">
        <v>63</v>
      </c>
      <c r="C271" s="1128"/>
      <c r="D271" s="1128"/>
      <c r="E271" s="1128"/>
      <c r="F271" s="1129"/>
    </row>
    <row r="272" spans="2:6" ht="19.899999999999999" customHeight="1" thickBot="1" x14ac:dyDescent="0.3">
      <c r="B272" s="1127" t="s">
        <v>56</v>
      </c>
      <c r="C272" s="1128"/>
      <c r="D272" s="1128"/>
      <c r="E272" s="1128"/>
      <c r="F272" s="1129"/>
    </row>
    <row r="273" spans="2:6" ht="16.5" thickBot="1" x14ac:dyDescent="0.3">
      <c r="B273" s="67" t="s">
        <v>203</v>
      </c>
      <c r="C273" s="1115" t="s">
        <v>204</v>
      </c>
      <c r="D273" s="1116"/>
      <c r="E273" s="1116"/>
      <c r="F273" s="1117"/>
    </row>
    <row r="274" spans="2:6" ht="34.15" customHeight="1" thickBot="1" x14ac:dyDescent="0.3">
      <c r="B274" s="43" t="s">
        <v>205</v>
      </c>
      <c r="C274" s="1115" t="s">
        <v>199</v>
      </c>
      <c r="D274" s="1116"/>
      <c r="E274" s="1116"/>
      <c r="F274" s="1117"/>
    </row>
    <row r="275" spans="2:6" ht="31.9" customHeight="1" thickBot="1" x14ac:dyDescent="0.3">
      <c r="B275" s="62" t="s">
        <v>17</v>
      </c>
      <c r="C275" s="1118" t="s">
        <v>200</v>
      </c>
      <c r="D275" s="1119"/>
      <c r="E275" s="1119"/>
      <c r="F275" s="1120"/>
    </row>
    <row r="276" spans="2:6" ht="16.5" thickBot="1" x14ac:dyDescent="0.3">
      <c r="B276" s="62" t="s">
        <v>18</v>
      </c>
      <c r="C276" s="1121" t="s">
        <v>177</v>
      </c>
      <c r="D276" s="1122"/>
      <c r="E276" s="1122"/>
      <c r="F276" s="1123"/>
    </row>
    <row r="277" spans="2:6" ht="15.75" x14ac:dyDescent="0.25">
      <c r="B277" s="1113"/>
      <c r="C277" s="44">
        <v>2018</v>
      </c>
      <c r="D277" s="44">
        <v>2019</v>
      </c>
      <c r="E277" s="44">
        <v>2020</v>
      </c>
      <c r="F277" s="44">
        <v>2021</v>
      </c>
    </row>
    <row r="278" spans="2:6" ht="16.5" thickBot="1" x14ac:dyDescent="0.3">
      <c r="B278" s="1114"/>
      <c r="C278" s="45" t="s">
        <v>10</v>
      </c>
      <c r="D278" s="45" t="s">
        <v>11</v>
      </c>
      <c r="E278" s="45" t="s">
        <v>11</v>
      </c>
      <c r="F278" s="45" t="s">
        <v>11</v>
      </c>
    </row>
    <row r="279" spans="2:6" ht="16.5" thickBot="1" x14ac:dyDescent="0.3">
      <c r="B279" s="62" t="s">
        <v>19</v>
      </c>
      <c r="C279" s="48">
        <v>10</v>
      </c>
      <c r="D279" s="48">
        <v>12</v>
      </c>
      <c r="E279" s="48">
        <v>12</v>
      </c>
      <c r="F279" s="48">
        <v>8</v>
      </c>
    </row>
    <row r="280" spans="2:6" ht="16.5" thickBot="1" x14ac:dyDescent="0.3">
      <c r="B280" s="62" t="s">
        <v>20</v>
      </c>
      <c r="C280" s="48">
        <v>2040</v>
      </c>
      <c r="D280" s="48">
        <v>2040</v>
      </c>
      <c r="E280" s="48">
        <v>2040</v>
      </c>
      <c r="F280" s="48">
        <v>1500</v>
      </c>
    </row>
    <row r="281" spans="2:6" ht="16.5" thickBot="1" x14ac:dyDescent="0.3">
      <c r="B281" s="62" t="s">
        <v>21</v>
      </c>
      <c r="C281" s="48">
        <f>C280/C279</f>
        <v>204</v>
      </c>
      <c r="D281" s="48">
        <f t="shared" ref="D281:F281" si="23">D280/D279</f>
        <v>170</v>
      </c>
      <c r="E281" s="48">
        <f t="shared" si="23"/>
        <v>170</v>
      </c>
      <c r="F281" s="48">
        <f t="shared" si="23"/>
        <v>187.5</v>
      </c>
    </row>
    <row r="282" spans="2:6" ht="16.5" thickBot="1" x14ac:dyDescent="0.3">
      <c r="B282" s="62" t="s">
        <v>22</v>
      </c>
      <c r="C282" s="70" t="s">
        <v>23</v>
      </c>
      <c r="D282" s="49">
        <f>D279/C279-1</f>
        <v>0.19999999999999996</v>
      </c>
      <c r="E282" s="49">
        <f t="shared" ref="E282:F284" si="24">E279/D279-1</f>
        <v>0</v>
      </c>
      <c r="F282" s="49">
        <f t="shared" si="24"/>
        <v>-0.33333333333333337</v>
      </c>
    </row>
    <row r="283" spans="2:6" ht="16.5" thickBot="1" x14ac:dyDescent="0.3">
      <c r="B283" s="62" t="s">
        <v>24</v>
      </c>
      <c r="C283" s="70" t="s">
        <v>23</v>
      </c>
      <c r="D283" s="49">
        <f>D280/C280-1</f>
        <v>0</v>
      </c>
      <c r="E283" s="49">
        <f t="shared" si="24"/>
        <v>0</v>
      </c>
      <c r="F283" s="49">
        <f t="shared" si="24"/>
        <v>-0.26470588235294112</v>
      </c>
    </row>
    <row r="284" spans="2:6" ht="16.5" thickBot="1" x14ac:dyDescent="0.3">
      <c r="B284" s="62" t="s">
        <v>25</v>
      </c>
      <c r="C284" s="70" t="s">
        <v>23</v>
      </c>
      <c r="D284" s="49">
        <f>D281/C281-1</f>
        <v>-0.16666666666666663</v>
      </c>
      <c r="E284" s="49">
        <f t="shared" si="24"/>
        <v>0</v>
      </c>
      <c r="F284" s="49">
        <f t="shared" si="24"/>
        <v>0.10294117647058831</v>
      </c>
    </row>
    <row r="285" spans="2:6" ht="16.5" thickBot="1" x14ac:dyDescent="0.3">
      <c r="B285" s="1124" t="s">
        <v>206</v>
      </c>
      <c r="C285" s="1125"/>
      <c r="D285" s="1125"/>
      <c r="E285" s="1125"/>
      <c r="F285" s="1126"/>
    </row>
    <row r="286" spans="2:6" x14ac:dyDescent="0.25">
      <c r="B286" s="998"/>
      <c r="C286" s="63">
        <v>2018</v>
      </c>
      <c r="D286" s="63">
        <v>2019</v>
      </c>
      <c r="E286" s="63">
        <v>2020</v>
      </c>
      <c r="F286" s="63">
        <v>2021</v>
      </c>
    </row>
    <row r="287" spans="2:6" ht="15.75" thickBot="1" x14ac:dyDescent="0.3">
      <c r="B287" s="999"/>
      <c r="C287" s="64" t="s">
        <v>10</v>
      </c>
      <c r="D287" s="64" t="s">
        <v>11</v>
      </c>
      <c r="E287" s="64" t="s">
        <v>11</v>
      </c>
      <c r="F287" s="64" t="s">
        <v>11</v>
      </c>
    </row>
    <row r="288" spans="2:6" ht="16.5" thickBot="1" x14ac:dyDescent="0.3">
      <c r="B288" s="65" t="s">
        <v>170</v>
      </c>
      <c r="C288" s="51"/>
      <c r="D288" s="51"/>
      <c r="E288" s="51"/>
      <c r="F288" s="51"/>
    </row>
    <row r="289" spans="2:6" ht="16.5" thickBot="1" x14ac:dyDescent="0.3">
      <c r="B289" s="65" t="s">
        <v>59</v>
      </c>
      <c r="C289" s="53">
        <v>2040</v>
      </c>
      <c r="D289" s="51">
        <v>2040</v>
      </c>
      <c r="E289" s="51">
        <v>2040</v>
      </c>
      <c r="F289" s="51">
        <v>1500</v>
      </c>
    </row>
    <row r="290" spans="2:6" ht="16.5" thickBot="1" x14ac:dyDescent="0.3">
      <c r="B290" s="66" t="s">
        <v>139</v>
      </c>
      <c r="C290" s="53">
        <f>C289+C288</f>
        <v>2040</v>
      </c>
      <c r="D290" s="53">
        <f t="shared" ref="D290:F290" si="25">D289+D288</f>
        <v>2040</v>
      </c>
      <c r="E290" s="53">
        <f t="shared" si="25"/>
        <v>2040</v>
      </c>
      <c r="F290" s="53">
        <f t="shared" si="25"/>
        <v>1500</v>
      </c>
    </row>
    <row r="291" spans="2:6" x14ac:dyDescent="0.25">
      <c r="B291" s="1015" t="s">
        <v>60</v>
      </c>
      <c r="C291" s="951"/>
      <c r="D291" s="952"/>
      <c r="E291" s="952"/>
      <c r="F291" s="953"/>
    </row>
    <row r="292" spans="2:6" x14ac:dyDescent="0.25">
      <c r="B292" s="1016"/>
      <c r="C292" s="954"/>
      <c r="D292" s="955"/>
      <c r="E292" s="955"/>
      <c r="F292" s="956"/>
    </row>
    <row r="293" spans="2:6" ht="15.75" thickBot="1" x14ac:dyDescent="0.3">
      <c r="B293" s="1017"/>
      <c r="C293" s="957"/>
      <c r="D293" s="958"/>
      <c r="E293" s="958"/>
      <c r="F293" s="959"/>
    </row>
    <row r="294" spans="2:6" ht="16.5" thickBot="1" x14ac:dyDescent="0.3">
      <c r="B294" s="67" t="s">
        <v>207</v>
      </c>
      <c r="C294" s="1115" t="s">
        <v>208</v>
      </c>
      <c r="D294" s="1116"/>
      <c r="E294" s="1116"/>
      <c r="F294" s="1117"/>
    </row>
    <row r="295" spans="2:6" ht="16.5" thickBot="1" x14ac:dyDescent="0.3">
      <c r="B295" s="43" t="s">
        <v>205</v>
      </c>
      <c r="C295" s="1115" t="s">
        <v>199</v>
      </c>
      <c r="D295" s="1116"/>
      <c r="E295" s="1116"/>
      <c r="F295" s="1117"/>
    </row>
    <row r="296" spans="2:6" ht="42.6" customHeight="1" thickBot="1" x14ac:dyDescent="0.3">
      <c r="B296" s="62" t="s">
        <v>17</v>
      </c>
      <c r="C296" s="1118" t="s">
        <v>200</v>
      </c>
      <c r="D296" s="1119"/>
      <c r="E296" s="1119"/>
      <c r="F296" s="1120"/>
    </row>
    <row r="297" spans="2:6" ht="16.5" thickBot="1" x14ac:dyDescent="0.3">
      <c r="B297" s="62" t="s">
        <v>18</v>
      </c>
      <c r="C297" s="1121" t="s">
        <v>209</v>
      </c>
      <c r="D297" s="1122"/>
      <c r="E297" s="1122"/>
      <c r="F297" s="1123"/>
    </row>
    <row r="298" spans="2:6" x14ac:dyDescent="0.25">
      <c r="B298" s="998"/>
      <c r="C298" s="63">
        <v>2018</v>
      </c>
      <c r="D298" s="63">
        <v>2019</v>
      </c>
      <c r="E298" s="63">
        <v>2020</v>
      </c>
      <c r="F298" s="63">
        <v>2021</v>
      </c>
    </row>
    <row r="299" spans="2:6" ht="15.75" thickBot="1" x14ac:dyDescent="0.3">
      <c r="B299" s="999"/>
      <c r="C299" s="64" t="s">
        <v>10</v>
      </c>
      <c r="D299" s="64" t="s">
        <v>11</v>
      </c>
      <c r="E299" s="64" t="s">
        <v>11</v>
      </c>
      <c r="F299" s="64" t="s">
        <v>11</v>
      </c>
    </row>
    <row r="300" spans="2:6" ht="16.5" thickBot="1" x14ac:dyDescent="0.3">
      <c r="B300" s="62" t="s">
        <v>19</v>
      </c>
      <c r="C300" s="48">
        <v>20</v>
      </c>
      <c r="D300" s="48">
        <v>20</v>
      </c>
      <c r="E300" s="48">
        <v>20</v>
      </c>
      <c r="F300" s="48">
        <v>20</v>
      </c>
    </row>
    <row r="301" spans="2:6" ht="16.5" thickBot="1" x14ac:dyDescent="0.3">
      <c r="B301" s="62" t="s">
        <v>20</v>
      </c>
      <c r="C301" s="48">
        <v>960</v>
      </c>
      <c r="D301" s="48">
        <v>960</v>
      </c>
      <c r="E301" s="48">
        <v>960</v>
      </c>
      <c r="F301" s="48">
        <v>960</v>
      </c>
    </row>
    <row r="302" spans="2:6" ht="16.5" thickBot="1" x14ac:dyDescent="0.3">
      <c r="B302" s="62" t="s">
        <v>21</v>
      </c>
      <c r="C302" s="48">
        <f>C301/C300</f>
        <v>48</v>
      </c>
      <c r="D302" s="48">
        <f t="shared" ref="D302:F302" si="26">D301/D300</f>
        <v>48</v>
      </c>
      <c r="E302" s="48">
        <f t="shared" si="26"/>
        <v>48</v>
      </c>
      <c r="F302" s="48">
        <f t="shared" si="26"/>
        <v>48</v>
      </c>
    </row>
    <row r="303" spans="2:6" ht="16.5" thickBot="1" x14ac:dyDescent="0.3">
      <c r="B303" s="62" t="s">
        <v>22</v>
      </c>
      <c r="C303" s="70" t="s">
        <v>23</v>
      </c>
      <c r="D303" s="49">
        <f>D300/C300-1</f>
        <v>0</v>
      </c>
      <c r="E303" s="49">
        <f t="shared" ref="E303:F305" si="27">E300/D300-1</f>
        <v>0</v>
      </c>
      <c r="F303" s="49">
        <f t="shared" si="27"/>
        <v>0</v>
      </c>
    </row>
    <row r="304" spans="2:6" ht="16.5" thickBot="1" x14ac:dyDescent="0.3">
      <c r="B304" s="62" t="s">
        <v>24</v>
      </c>
      <c r="C304" s="70" t="s">
        <v>23</v>
      </c>
      <c r="D304" s="49">
        <f>D301/C301-1</f>
        <v>0</v>
      </c>
      <c r="E304" s="49">
        <f t="shared" si="27"/>
        <v>0</v>
      </c>
      <c r="F304" s="49">
        <f t="shared" si="27"/>
        <v>0</v>
      </c>
    </row>
    <row r="305" spans="2:6" ht="16.5" thickBot="1" x14ac:dyDescent="0.3">
      <c r="B305" s="62" t="s">
        <v>25</v>
      </c>
      <c r="C305" s="70" t="s">
        <v>23</v>
      </c>
      <c r="D305" s="49">
        <f>D302/C302-1</f>
        <v>0</v>
      </c>
      <c r="E305" s="49">
        <f t="shared" si="27"/>
        <v>0</v>
      </c>
      <c r="F305" s="49">
        <f t="shared" si="27"/>
        <v>0</v>
      </c>
    </row>
    <row r="306" spans="2:6" ht="16.5" thickBot="1" x14ac:dyDescent="0.3">
      <c r="B306" s="1124" t="s">
        <v>206</v>
      </c>
      <c r="C306" s="1125"/>
      <c r="D306" s="1125"/>
      <c r="E306" s="1125"/>
      <c r="F306" s="1126"/>
    </row>
    <row r="307" spans="2:6" x14ac:dyDescent="0.25">
      <c r="B307" s="998"/>
      <c r="C307" s="63">
        <v>2018</v>
      </c>
      <c r="D307" s="63">
        <v>2019</v>
      </c>
      <c r="E307" s="63">
        <v>2020</v>
      </c>
      <c r="F307" s="63">
        <v>2021</v>
      </c>
    </row>
    <row r="308" spans="2:6" ht="15.75" thickBot="1" x14ac:dyDescent="0.3">
      <c r="B308" s="999"/>
      <c r="C308" s="64" t="s">
        <v>10</v>
      </c>
      <c r="D308" s="64" t="s">
        <v>11</v>
      </c>
      <c r="E308" s="64" t="s">
        <v>11</v>
      </c>
      <c r="F308" s="64" t="s">
        <v>11</v>
      </c>
    </row>
    <row r="309" spans="2:6" ht="16.5" thickBot="1" x14ac:dyDescent="0.3">
      <c r="B309" s="65" t="s">
        <v>170</v>
      </c>
      <c r="C309" s="51"/>
      <c r="D309" s="51"/>
      <c r="E309" s="51"/>
      <c r="F309" s="51"/>
    </row>
    <row r="310" spans="2:6" ht="16.5" thickBot="1" x14ac:dyDescent="0.3">
      <c r="B310" s="65" t="s">
        <v>59</v>
      </c>
      <c r="C310" s="53">
        <v>960</v>
      </c>
      <c r="D310" s="51">
        <v>960</v>
      </c>
      <c r="E310" s="51">
        <v>960</v>
      </c>
      <c r="F310" s="51">
        <v>960</v>
      </c>
    </row>
    <row r="311" spans="2:6" ht="16.5" thickBot="1" x14ac:dyDescent="0.3">
      <c r="B311" s="66" t="s">
        <v>139</v>
      </c>
      <c r="C311" s="53">
        <f>C310+C309</f>
        <v>960</v>
      </c>
      <c r="D311" s="53">
        <f t="shared" ref="D311:F311" si="28">D310+D309</f>
        <v>960</v>
      </c>
      <c r="E311" s="53">
        <f t="shared" si="28"/>
        <v>960</v>
      </c>
      <c r="F311" s="53">
        <f t="shared" si="28"/>
        <v>960</v>
      </c>
    </row>
    <row r="312" spans="2:6" x14ac:dyDescent="0.25">
      <c r="B312" s="1015" t="s">
        <v>60</v>
      </c>
      <c r="C312" s="951"/>
      <c r="D312" s="952"/>
      <c r="E312" s="952"/>
      <c r="F312" s="953"/>
    </row>
    <row r="313" spans="2:6" x14ac:dyDescent="0.25">
      <c r="B313" s="1016"/>
      <c r="C313" s="954"/>
      <c r="D313" s="955"/>
      <c r="E313" s="955"/>
      <c r="F313" s="956"/>
    </row>
    <row r="314" spans="2:6" ht="15.75" thickBot="1" x14ac:dyDescent="0.3">
      <c r="B314" s="1017"/>
      <c r="C314" s="957"/>
      <c r="D314" s="958"/>
      <c r="E314" s="958"/>
      <c r="F314" s="959"/>
    </row>
    <row r="315" spans="2:6" ht="16.5" thickBot="1" x14ac:dyDescent="0.3">
      <c r="B315" s="1127" t="s">
        <v>63</v>
      </c>
      <c r="C315" s="1128"/>
      <c r="D315" s="1128"/>
      <c r="E315" s="1128"/>
      <c r="F315" s="1129"/>
    </row>
    <row r="316" spans="2:6" ht="16.5" thickBot="1" x14ac:dyDescent="0.3">
      <c r="B316" s="1127" t="s">
        <v>64</v>
      </c>
      <c r="C316" s="1128"/>
      <c r="D316" s="1128"/>
      <c r="E316" s="1128"/>
      <c r="F316" s="1129"/>
    </row>
    <row r="317" spans="2:6" ht="15.75" thickBot="1" x14ac:dyDescent="0.3">
      <c r="B317" s="20" t="s">
        <v>61</v>
      </c>
      <c r="C317" s="961" t="s">
        <v>130</v>
      </c>
      <c r="D317" s="962"/>
      <c r="E317" s="962"/>
      <c r="F317" s="963"/>
    </row>
    <row r="318" spans="2:6" ht="16.5" thickBot="1" x14ac:dyDescent="0.3">
      <c r="B318" s="67" t="s">
        <v>189</v>
      </c>
      <c r="C318" s="1115" t="s">
        <v>208</v>
      </c>
      <c r="D318" s="1116"/>
      <c r="E318" s="1116"/>
      <c r="F318" s="1117"/>
    </row>
    <row r="319" spans="2:6" ht="16.5" thickBot="1" x14ac:dyDescent="0.3">
      <c r="B319" s="43" t="s">
        <v>205</v>
      </c>
      <c r="C319" s="1115" t="s">
        <v>199</v>
      </c>
      <c r="D319" s="1116"/>
      <c r="E319" s="1116"/>
      <c r="F319" s="1117"/>
    </row>
    <row r="320" spans="2:6" ht="39" customHeight="1" thickBot="1" x14ac:dyDescent="0.3">
      <c r="B320" s="62" t="s">
        <v>17</v>
      </c>
      <c r="C320" s="1118" t="s">
        <v>200</v>
      </c>
      <c r="D320" s="1119"/>
      <c r="E320" s="1119"/>
      <c r="F320" s="1120"/>
    </row>
    <row r="321" spans="2:6" ht="16.5" thickBot="1" x14ac:dyDescent="0.3">
      <c r="B321" s="62" t="s">
        <v>18</v>
      </c>
      <c r="C321" s="1121" t="s">
        <v>209</v>
      </c>
      <c r="D321" s="1122"/>
      <c r="E321" s="1122"/>
      <c r="F321" s="1123"/>
    </row>
    <row r="322" spans="2:6" x14ac:dyDescent="0.25">
      <c r="B322" s="998"/>
      <c r="C322" s="63">
        <v>2018</v>
      </c>
      <c r="D322" s="63">
        <v>2019</v>
      </c>
      <c r="E322" s="63">
        <v>2020</v>
      </c>
      <c r="F322" s="63">
        <v>2021</v>
      </c>
    </row>
    <row r="323" spans="2:6" ht="15.75" thickBot="1" x14ac:dyDescent="0.3">
      <c r="B323" s="999"/>
      <c r="C323" s="64" t="s">
        <v>10</v>
      </c>
      <c r="D323" s="64" t="s">
        <v>11</v>
      </c>
      <c r="E323" s="64" t="s">
        <v>11</v>
      </c>
      <c r="F323" s="64" t="s">
        <v>11</v>
      </c>
    </row>
    <row r="324" spans="2:6" ht="16.5" thickBot="1" x14ac:dyDescent="0.3">
      <c r="B324" s="62" t="s">
        <v>19</v>
      </c>
      <c r="C324" s="48"/>
      <c r="D324" s="48"/>
      <c r="E324" s="48"/>
      <c r="F324" s="48"/>
    </row>
    <row r="325" spans="2:6" ht="16.5" thickBot="1" x14ac:dyDescent="0.3">
      <c r="B325" s="62" t="s">
        <v>20</v>
      </c>
      <c r="C325" s="48"/>
      <c r="D325" s="48"/>
      <c r="E325" s="48"/>
      <c r="F325" s="48"/>
    </row>
    <row r="326" spans="2:6" ht="16.5" thickBot="1" x14ac:dyDescent="0.3">
      <c r="B326" s="62" t="s">
        <v>21</v>
      </c>
      <c r="C326" s="48" t="e">
        <f>C325/C324</f>
        <v>#DIV/0!</v>
      </c>
      <c r="D326" s="48" t="e">
        <f t="shared" ref="D326:F326" si="29">D325/D324</f>
        <v>#DIV/0!</v>
      </c>
      <c r="E326" s="48" t="e">
        <f t="shared" si="29"/>
        <v>#DIV/0!</v>
      </c>
      <c r="F326" s="48" t="e">
        <f t="shared" si="29"/>
        <v>#DIV/0!</v>
      </c>
    </row>
    <row r="327" spans="2:6" ht="16.5" thickBot="1" x14ac:dyDescent="0.3">
      <c r="B327" s="62" t="s">
        <v>22</v>
      </c>
      <c r="C327" s="70" t="s">
        <v>23</v>
      </c>
      <c r="D327" s="49" t="e">
        <f>D324/C324-1</f>
        <v>#DIV/0!</v>
      </c>
      <c r="E327" s="49" t="e">
        <f t="shared" ref="E327:F329" si="30">E324/D324-1</f>
        <v>#DIV/0!</v>
      </c>
      <c r="F327" s="49" t="e">
        <f t="shared" si="30"/>
        <v>#DIV/0!</v>
      </c>
    </row>
    <row r="328" spans="2:6" ht="16.5" thickBot="1" x14ac:dyDescent="0.3">
      <c r="B328" s="62" t="s">
        <v>24</v>
      </c>
      <c r="C328" s="70" t="s">
        <v>23</v>
      </c>
      <c r="D328" s="49" t="e">
        <f>D325/C325-1</f>
        <v>#DIV/0!</v>
      </c>
      <c r="E328" s="49" t="e">
        <f t="shared" si="30"/>
        <v>#DIV/0!</v>
      </c>
      <c r="F328" s="49" t="e">
        <f t="shared" si="30"/>
        <v>#DIV/0!</v>
      </c>
    </row>
    <row r="329" spans="2:6" ht="16.5" thickBot="1" x14ac:dyDescent="0.3">
      <c r="B329" s="62" t="s">
        <v>25</v>
      </c>
      <c r="C329" s="70" t="s">
        <v>23</v>
      </c>
      <c r="D329" s="49" t="e">
        <f>D326/C326-1</f>
        <v>#DIV/0!</v>
      </c>
      <c r="E329" s="49" t="e">
        <f t="shared" si="30"/>
        <v>#DIV/0!</v>
      </c>
      <c r="F329" s="49" t="e">
        <f t="shared" si="30"/>
        <v>#DIV/0!</v>
      </c>
    </row>
    <row r="330" spans="2:6" ht="16.5" thickBot="1" x14ac:dyDescent="0.3">
      <c r="B330" s="1124" t="s">
        <v>206</v>
      </c>
      <c r="C330" s="1125"/>
      <c r="D330" s="1125"/>
      <c r="E330" s="1125"/>
      <c r="F330" s="1126"/>
    </row>
    <row r="331" spans="2:6" x14ac:dyDescent="0.25">
      <c r="B331" s="998"/>
      <c r="C331" s="63">
        <v>2018</v>
      </c>
      <c r="D331" s="63">
        <v>2019</v>
      </c>
      <c r="E331" s="63">
        <v>2020</v>
      </c>
      <c r="F331" s="63">
        <v>2021</v>
      </c>
    </row>
    <row r="332" spans="2:6" ht="15.75" thickBot="1" x14ac:dyDescent="0.3">
      <c r="B332" s="999"/>
      <c r="C332" s="64" t="s">
        <v>10</v>
      </c>
      <c r="D332" s="64" t="s">
        <v>11</v>
      </c>
      <c r="E332" s="64" t="s">
        <v>11</v>
      </c>
      <c r="F332" s="64" t="s">
        <v>11</v>
      </c>
    </row>
    <row r="333" spans="2:6" ht="16.5" thickBot="1" x14ac:dyDescent="0.3">
      <c r="B333" s="65" t="s">
        <v>170</v>
      </c>
      <c r="C333" s="51"/>
      <c r="D333" s="51"/>
      <c r="E333" s="51"/>
      <c r="F333" s="51"/>
    </row>
    <row r="334" spans="2:6" ht="16.5" thickBot="1" x14ac:dyDescent="0.3">
      <c r="B334" s="65" t="s">
        <v>59</v>
      </c>
      <c r="C334" s="53"/>
      <c r="D334" s="51"/>
      <c r="E334" s="51"/>
      <c r="F334" s="51"/>
    </row>
    <row r="335" spans="2:6" ht="16.5" thickBot="1" x14ac:dyDescent="0.3">
      <c r="B335" s="66" t="s">
        <v>139</v>
      </c>
      <c r="C335" s="53">
        <f>C334+C333</f>
        <v>0</v>
      </c>
      <c r="D335" s="53">
        <f t="shared" ref="D335:F335" si="31">D334+D333</f>
        <v>0</v>
      </c>
      <c r="E335" s="53">
        <f t="shared" si="31"/>
        <v>0</v>
      </c>
      <c r="F335" s="53">
        <f t="shared" si="31"/>
        <v>0</v>
      </c>
    </row>
    <row r="336" spans="2:6" x14ac:dyDescent="0.25">
      <c r="B336" s="1015" t="s">
        <v>210</v>
      </c>
      <c r="C336" s="951"/>
      <c r="D336" s="952"/>
      <c r="E336" s="952"/>
      <c r="F336" s="953"/>
    </row>
    <row r="337" spans="2:6" x14ac:dyDescent="0.25">
      <c r="B337" s="1016"/>
      <c r="C337" s="954"/>
      <c r="D337" s="955"/>
      <c r="E337" s="955"/>
      <c r="F337" s="956"/>
    </row>
    <row r="338" spans="2:6" ht="24.6" customHeight="1" thickBot="1" x14ac:dyDescent="0.3">
      <c r="B338" s="1017"/>
      <c r="C338" s="957"/>
      <c r="D338" s="958"/>
      <c r="E338" s="958"/>
      <c r="F338" s="959"/>
    </row>
    <row r="339" spans="2:6" ht="22.9" customHeight="1" thickBot="1" x14ac:dyDescent="0.3">
      <c r="B339" s="22"/>
      <c r="C339" s="23"/>
      <c r="D339" s="23"/>
      <c r="E339" s="23"/>
      <c r="F339" s="23"/>
    </row>
    <row r="340" spans="2:6" ht="31.15" customHeight="1" x14ac:dyDescent="0.25">
      <c r="B340" s="1113"/>
      <c r="C340" s="44">
        <v>2018</v>
      </c>
      <c r="D340" s="44">
        <v>2019</v>
      </c>
      <c r="E340" s="44">
        <v>2020</v>
      </c>
      <c r="F340" s="44">
        <v>2021</v>
      </c>
    </row>
    <row r="341" spans="2:6" ht="47.45" customHeight="1" thickBot="1" x14ac:dyDescent="0.3">
      <c r="B341" s="1114"/>
      <c r="C341" s="45" t="s">
        <v>10</v>
      </c>
      <c r="D341" s="45" t="s">
        <v>11</v>
      </c>
      <c r="E341" s="45" t="s">
        <v>11</v>
      </c>
      <c r="F341" s="45" t="s">
        <v>11</v>
      </c>
    </row>
    <row r="342" spans="2:6" ht="39.6" customHeight="1" thickBot="1" x14ac:dyDescent="0.3">
      <c r="B342" s="42" t="s">
        <v>82</v>
      </c>
      <c r="C342" s="54">
        <f>C45+C66+C90+C120+C141+C165+C195+C216+C239+C269+C290+C311+C335</f>
        <v>128000</v>
      </c>
      <c r="D342" s="54">
        <f>D45+D66+D90+D120+D141+D165+D195+D216+D239+D269+D290+D311+D335</f>
        <v>134000</v>
      </c>
      <c r="E342" s="54">
        <f>E45+E66+E90+E120+E141+E165+E195+E216+E239+E269+E290+E311+E335</f>
        <v>134000</v>
      </c>
      <c r="F342" s="54">
        <f>F45+F66+F90+F120+F141+F165+F195+F216+F239+F269+F290+F311+F335</f>
        <v>135000</v>
      </c>
    </row>
    <row r="343" spans="2:6" ht="32.25" thickBot="1" x14ac:dyDescent="0.3">
      <c r="B343" s="42" t="s">
        <v>83</v>
      </c>
      <c r="C343" s="54">
        <f>C345+C347+C349+C351+C353+C355+C357+C359+C361</f>
        <v>128000</v>
      </c>
      <c r="D343" s="54">
        <f t="shared" ref="D343:F343" si="32">D345+D347+D349+D351+D353+D355+D357+D359+D361</f>
        <v>134000</v>
      </c>
      <c r="E343" s="54">
        <f t="shared" si="32"/>
        <v>134000</v>
      </c>
      <c r="F343" s="54">
        <f t="shared" si="32"/>
        <v>135000</v>
      </c>
    </row>
    <row r="344" spans="2:6" ht="33.75" customHeight="1" thickBot="1" x14ac:dyDescent="0.3">
      <c r="B344" s="55" t="s">
        <v>84</v>
      </c>
      <c r="C344" s="56"/>
      <c r="D344" s="57">
        <f>D343/C343-1</f>
        <v>4.6875E-2</v>
      </c>
      <c r="E344" s="57">
        <f>E343/D343-1</f>
        <v>0</v>
      </c>
      <c r="F344" s="57">
        <f t="shared" ref="F344" si="33">F343/E343-1</f>
        <v>7.4626865671640896E-3</v>
      </c>
    </row>
    <row r="345" spans="2:6" ht="24" customHeight="1" thickBot="1" x14ac:dyDescent="0.3">
      <c r="B345" s="82" t="s">
        <v>26</v>
      </c>
      <c r="C345" s="51">
        <f>C38+C113+C188+C262</f>
        <v>80500</v>
      </c>
      <c r="D345" s="51">
        <f>D38+D113+D188+D262</f>
        <v>85700</v>
      </c>
      <c r="E345" s="51">
        <f>E38+E113+E188+E262</f>
        <v>85700</v>
      </c>
      <c r="F345" s="51">
        <f>F38+F113+F188+F262</f>
        <v>85700</v>
      </c>
    </row>
    <row r="346" spans="2:6" ht="42.6" customHeight="1" thickBot="1" x14ac:dyDescent="0.3">
      <c r="B346" s="83" t="s">
        <v>85</v>
      </c>
      <c r="C346" s="53"/>
      <c r="D346" s="59">
        <f>D345/C345-1</f>
        <v>6.459627329192541E-2</v>
      </c>
      <c r="E346" s="59">
        <f>E345/D345-1</f>
        <v>0</v>
      </c>
      <c r="F346" s="59">
        <f t="shared" ref="F346" si="34">F345/E345-1</f>
        <v>0</v>
      </c>
    </row>
    <row r="347" spans="2:6" ht="41.45" customHeight="1" thickBot="1" x14ac:dyDescent="0.3">
      <c r="B347" s="50" t="s">
        <v>28</v>
      </c>
      <c r="C347" s="51">
        <f>C39+C114+C189+C263</f>
        <v>10500</v>
      </c>
      <c r="D347" s="51">
        <f>D39+D114+D189+D263</f>
        <v>10800</v>
      </c>
      <c r="E347" s="51">
        <f>E39+E114+E189+E263</f>
        <v>10800</v>
      </c>
      <c r="F347" s="51">
        <f>F39+F114+F189+F263</f>
        <v>10800</v>
      </c>
    </row>
    <row r="348" spans="2:6" ht="28.15" customHeight="1" thickBot="1" x14ac:dyDescent="0.3">
      <c r="B348" s="58" t="s">
        <v>86</v>
      </c>
      <c r="C348" s="53"/>
      <c r="D348" s="59">
        <f>D347/C347-1</f>
        <v>2.857142857142847E-2</v>
      </c>
      <c r="E348" s="59">
        <f>E347/D347-1</f>
        <v>0</v>
      </c>
      <c r="F348" s="59">
        <f t="shared" ref="F348" si="35">F347/E347-1</f>
        <v>0</v>
      </c>
    </row>
    <row r="349" spans="2:6" ht="16.5" thickBot="1" x14ac:dyDescent="0.3">
      <c r="B349" s="50" t="s">
        <v>30</v>
      </c>
      <c r="C349" s="51">
        <f>C40+C115+C190+C264</f>
        <v>32500</v>
      </c>
      <c r="D349" s="51">
        <f>D40+D115+D190+D264</f>
        <v>33000</v>
      </c>
      <c r="E349" s="51">
        <f>E40+E115+E190+E264</f>
        <v>33000</v>
      </c>
      <c r="F349" s="51">
        <f>F40+F115+F190+F264</f>
        <v>34000</v>
      </c>
    </row>
    <row r="350" spans="2:6" ht="25.9" customHeight="1" thickBot="1" x14ac:dyDescent="0.3">
      <c r="B350" s="58" t="s">
        <v>87</v>
      </c>
      <c r="C350" s="53"/>
      <c r="D350" s="59">
        <f>D349/C349-1</f>
        <v>1.538461538461533E-2</v>
      </c>
      <c r="E350" s="59">
        <f>E349/D349-1</f>
        <v>0</v>
      </c>
      <c r="F350" s="59">
        <f t="shared" ref="F350" si="36">F349/E349-1</f>
        <v>3.0303030303030276E-2</v>
      </c>
    </row>
    <row r="351" spans="2:6" ht="23.45" customHeight="1" thickBot="1" x14ac:dyDescent="0.3">
      <c r="B351" s="50" t="s">
        <v>32</v>
      </c>
      <c r="C351" s="51">
        <f>C41+C116+C191+C265</f>
        <v>0</v>
      </c>
      <c r="D351" s="51">
        <f>D41+D116+D191+D265</f>
        <v>0</v>
      </c>
      <c r="E351" s="51">
        <f>E41+E116+E191+E265</f>
        <v>0</v>
      </c>
      <c r="F351" s="51">
        <f>F41+F116+F191+F265</f>
        <v>0</v>
      </c>
    </row>
    <row r="352" spans="2:6" ht="27.6" customHeight="1" thickBot="1" x14ac:dyDescent="0.3">
      <c r="B352" s="58" t="s">
        <v>88</v>
      </c>
      <c r="C352" s="53"/>
      <c r="D352" s="59" t="e">
        <f>D351/C351-1</f>
        <v>#DIV/0!</v>
      </c>
      <c r="E352" s="59" t="e">
        <f>E351/D351-1</f>
        <v>#DIV/0!</v>
      </c>
      <c r="F352" s="59" t="e">
        <f t="shared" ref="F352" si="37">F351/E351-1</f>
        <v>#DIV/0!</v>
      </c>
    </row>
    <row r="353" spans="2:6" ht="16.5" thickBot="1" x14ac:dyDescent="0.3">
      <c r="B353" s="50" t="s">
        <v>34</v>
      </c>
      <c r="C353" s="51">
        <f>C42+C117+C192+C266</f>
        <v>0</v>
      </c>
      <c r="D353" s="51">
        <f>D42+D117+D192+D266</f>
        <v>0</v>
      </c>
      <c r="E353" s="51">
        <f>E42+E117+E192+E266</f>
        <v>0</v>
      </c>
      <c r="F353" s="51">
        <f>F42+F117+F192+F266</f>
        <v>0</v>
      </c>
    </row>
    <row r="354" spans="2:6" ht="30" customHeight="1" thickBot="1" x14ac:dyDescent="0.3">
      <c r="B354" s="58" t="s">
        <v>89</v>
      </c>
      <c r="C354" s="53"/>
      <c r="D354" s="59" t="e">
        <f>D353/C353-1</f>
        <v>#DIV/0!</v>
      </c>
      <c r="E354" s="59" t="e">
        <f>E353/D353-1</f>
        <v>#DIV/0!</v>
      </c>
      <c r="F354" s="59" t="e">
        <f t="shared" ref="F354" si="38">F353/E353-1</f>
        <v>#DIV/0!</v>
      </c>
    </row>
    <row r="355" spans="2:6" ht="27" customHeight="1" thickBot="1" x14ac:dyDescent="0.3">
      <c r="B355" s="50" t="s">
        <v>36</v>
      </c>
      <c r="C355" s="51">
        <f>C43+C118+C193+C267</f>
        <v>500</v>
      </c>
      <c r="D355" s="51">
        <f>D43+D118+D193+D267</f>
        <v>500</v>
      </c>
      <c r="E355" s="51">
        <f>E43+E118+E193+E267</f>
        <v>500</v>
      </c>
      <c r="F355" s="51">
        <f>F43+F118+F193+F267</f>
        <v>500</v>
      </c>
    </row>
    <row r="356" spans="2:6" ht="37.9" customHeight="1" thickBot="1" x14ac:dyDescent="0.3">
      <c r="B356" s="58" t="s">
        <v>90</v>
      </c>
      <c r="C356" s="53"/>
      <c r="D356" s="59">
        <f>D355/C355-1</f>
        <v>0</v>
      </c>
      <c r="E356" s="59">
        <f>E355/D355-1</f>
        <v>0</v>
      </c>
      <c r="F356" s="59">
        <f t="shared" ref="F356" si="39">F355/E355-1</f>
        <v>0</v>
      </c>
    </row>
    <row r="357" spans="2:6" ht="39" customHeight="1" thickBot="1" x14ac:dyDescent="0.3">
      <c r="B357" s="50" t="s">
        <v>38</v>
      </c>
      <c r="C357" s="51">
        <f>C44+C119+C194+C268</f>
        <v>0</v>
      </c>
      <c r="D357" s="51">
        <f>D44+D119+D194+D268</f>
        <v>0</v>
      </c>
      <c r="E357" s="51">
        <f>E44+E119+E194+E268</f>
        <v>0</v>
      </c>
      <c r="F357" s="51">
        <f>F44+F119+F194+F268</f>
        <v>0</v>
      </c>
    </row>
    <row r="358" spans="2:6" ht="28.9" customHeight="1" thickBot="1" x14ac:dyDescent="0.3">
      <c r="B358" s="58" t="s">
        <v>91</v>
      </c>
      <c r="C358" s="53"/>
      <c r="D358" s="59" t="e">
        <f>D357/C357-1</f>
        <v>#DIV/0!</v>
      </c>
      <c r="E358" s="59" t="e">
        <f>E357/D357-1</f>
        <v>#DIV/0!</v>
      </c>
      <c r="F358" s="59" t="e">
        <f t="shared" ref="F358" si="40">F357/E357-1</f>
        <v>#DIV/0!</v>
      </c>
    </row>
    <row r="359" spans="2:6" ht="38.450000000000003" customHeight="1" thickBot="1" x14ac:dyDescent="0.3">
      <c r="B359" s="50" t="s">
        <v>92</v>
      </c>
      <c r="C359" s="51">
        <f>C64+C88+C139+C163+C214+C237+C288+C309+C333</f>
        <v>0</v>
      </c>
      <c r="D359" s="51">
        <f>D64+D88+D139+D163+D214+D237+D288+D309+D333</f>
        <v>0</v>
      </c>
      <c r="E359" s="51">
        <f>E64+E88+E139+E163+E214+E237+E288+E309+E333</f>
        <v>0</v>
      </c>
      <c r="F359" s="51">
        <f>F64+F88+F139+F163+F214+F237+F288+F309+F333</f>
        <v>0</v>
      </c>
    </row>
    <row r="360" spans="2:6" ht="33" customHeight="1" thickBot="1" x14ac:dyDescent="0.3">
      <c r="B360" s="58" t="s">
        <v>93</v>
      </c>
      <c r="C360" s="53"/>
      <c r="D360" s="59" t="e">
        <f>D359/C359-1</f>
        <v>#DIV/0!</v>
      </c>
      <c r="E360" s="59" t="e">
        <f>E359/D359-1</f>
        <v>#DIV/0!</v>
      </c>
      <c r="F360" s="59" t="e">
        <f t="shared" ref="F360" si="41">F359/E359-1</f>
        <v>#DIV/0!</v>
      </c>
    </row>
    <row r="361" spans="2:6" ht="23.45" customHeight="1" thickBot="1" x14ac:dyDescent="0.3">
      <c r="B361" s="50" t="s">
        <v>94</v>
      </c>
      <c r="C361" s="51">
        <f>C65+C89+C140+C164+C215+C238+C289+C310+C334</f>
        <v>4000</v>
      </c>
      <c r="D361" s="51">
        <f>D65+D89+D140+D164+D215+D238+D289+D310+D334</f>
        <v>4000</v>
      </c>
      <c r="E361" s="51">
        <f>E65+E89+E140+E164+E215+E238+E289+E310+E334</f>
        <v>4000</v>
      </c>
      <c r="F361" s="51">
        <f>F65+F89+F140+F164+F215+F238+F289+F310+F334</f>
        <v>4000</v>
      </c>
    </row>
    <row r="362" spans="2:6" ht="32.450000000000003" customHeight="1" thickBot="1" x14ac:dyDescent="0.3">
      <c r="B362" s="58" t="s">
        <v>95</v>
      </c>
      <c r="C362" s="53"/>
      <c r="D362" s="59">
        <f>D361/C361-1</f>
        <v>0</v>
      </c>
      <c r="E362" s="59">
        <f>E361/D361-1</f>
        <v>0</v>
      </c>
      <c r="F362" s="59">
        <f t="shared" ref="F362" si="42">F361/E361-1</f>
        <v>0</v>
      </c>
    </row>
    <row r="363" spans="2:6" ht="53.45" customHeight="1" thickBot="1" x14ac:dyDescent="0.3">
      <c r="B363" s="46" t="s">
        <v>41</v>
      </c>
      <c r="C363" s="47">
        <f>IF(C343-C342=0,0,"Error")</f>
        <v>0</v>
      </c>
      <c r="D363" s="47">
        <f>IF(D343-D342=0,0,"Error")</f>
        <v>0</v>
      </c>
      <c r="E363" s="47">
        <f>IF(E343-E342=0,0,"Error")</f>
        <v>0</v>
      </c>
      <c r="F363" s="47">
        <f>IF(F343-F342=0,0,"Error")</f>
        <v>0</v>
      </c>
    </row>
    <row r="364" spans="2:6" ht="57.6" customHeight="1" thickBot="1" x14ac:dyDescent="0.3">
      <c r="B364" s="60" t="s">
        <v>96</v>
      </c>
      <c r="C364" s="51">
        <v>62</v>
      </c>
      <c r="D364" s="51">
        <v>62</v>
      </c>
      <c r="E364" s="51">
        <v>62</v>
      </c>
      <c r="F364" s="51">
        <v>62</v>
      </c>
    </row>
    <row r="365" spans="2:6" ht="45" customHeight="1" thickBot="1" x14ac:dyDescent="0.3">
      <c r="B365" s="60" t="s">
        <v>97</v>
      </c>
      <c r="C365" s="51">
        <v>0</v>
      </c>
      <c r="D365" s="51">
        <v>0</v>
      </c>
      <c r="E365" s="51">
        <v>0</v>
      </c>
      <c r="F365" s="51">
        <v>0</v>
      </c>
    </row>
    <row r="366" spans="2:6" x14ac:dyDescent="0.25">
      <c r="B366" s="31"/>
      <c r="C366" s="32"/>
      <c r="D366" s="32"/>
      <c r="E366" s="32"/>
      <c r="F366" s="32"/>
    </row>
    <row r="367" spans="2:6" x14ac:dyDescent="0.25">
      <c r="B367" s="33"/>
      <c r="C367" s="34"/>
      <c r="D367" s="19"/>
      <c r="E367" s="33"/>
      <c r="F367" s="33"/>
    </row>
    <row r="368" spans="2:6" x14ac:dyDescent="0.25">
      <c r="B368" s="33"/>
      <c r="C368" s="34"/>
      <c r="D368" s="19"/>
      <c r="E368" s="33"/>
      <c r="F368" s="33"/>
    </row>
    <row r="369" spans="2:6" x14ac:dyDescent="0.25">
      <c r="B369" s="33"/>
      <c r="C369" s="34"/>
      <c r="D369" s="19"/>
      <c r="E369" s="33"/>
      <c r="F369" s="33"/>
    </row>
    <row r="370" spans="2:6" x14ac:dyDescent="0.25">
      <c r="B370" s="33"/>
      <c r="C370" s="34"/>
      <c r="D370" s="19"/>
      <c r="E370" s="33"/>
      <c r="F370" s="33"/>
    </row>
    <row r="371" spans="2:6" x14ac:dyDescent="0.25">
      <c r="B371" s="33"/>
      <c r="C371" s="34"/>
      <c r="D371" s="19"/>
      <c r="E371" s="33"/>
      <c r="F371" s="33"/>
    </row>
    <row r="372" spans="2:6" x14ac:dyDescent="0.25">
      <c r="B372" s="33"/>
      <c r="C372" s="34"/>
      <c r="D372" s="19"/>
      <c r="E372" s="33"/>
      <c r="F372" s="33"/>
    </row>
    <row r="373" spans="2:6" x14ac:dyDescent="0.25">
      <c r="B373" s="33"/>
      <c r="C373" s="34"/>
      <c r="D373" s="19"/>
      <c r="E373" s="33"/>
      <c r="F373" s="33"/>
    </row>
    <row r="374" spans="2:6" x14ac:dyDescent="0.25">
      <c r="B374" s="33"/>
      <c r="C374" s="34"/>
      <c r="D374" s="19"/>
      <c r="E374" s="33"/>
      <c r="F374" s="33"/>
    </row>
    <row r="375" spans="2:6" x14ac:dyDescent="0.25">
      <c r="B375" s="33"/>
      <c r="C375" s="34"/>
      <c r="D375" s="19"/>
      <c r="E375" s="33"/>
      <c r="F375" s="33"/>
    </row>
    <row r="376" spans="2:6" x14ac:dyDescent="0.25">
      <c r="B376" s="33"/>
      <c r="C376" s="34"/>
      <c r="D376" s="19"/>
      <c r="E376" s="33"/>
      <c r="F376" s="33"/>
    </row>
    <row r="377" spans="2:6" x14ac:dyDescent="0.25">
      <c r="B377" s="33"/>
      <c r="C377" s="34"/>
      <c r="D377" s="19"/>
      <c r="E377" s="33"/>
      <c r="F377" s="33"/>
    </row>
    <row r="378" spans="2:6" x14ac:dyDescent="0.25">
      <c r="B378" s="33"/>
      <c r="C378" s="34"/>
      <c r="D378" s="19"/>
      <c r="E378" s="33"/>
      <c r="F378" s="33"/>
    </row>
  </sheetData>
  <mergeCells count="148">
    <mergeCell ref="B2:F2"/>
    <mergeCell ref="C4:F4"/>
    <mergeCell ref="C5:F5"/>
    <mergeCell ref="C6:F6"/>
    <mergeCell ref="B7:F7"/>
    <mergeCell ref="B23:F23"/>
    <mergeCell ref="C24:F24"/>
    <mergeCell ref="C25:F25"/>
    <mergeCell ref="C26:F26"/>
    <mergeCell ref="B27:B28"/>
    <mergeCell ref="B35:F35"/>
    <mergeCell ref="B8:F10"/>
    <mergeCell ref="C11:F11"/>
    <mergeCell ref="B12:B13"/>
    <mergeCell ref="C19:F19"/>
    <mergeCell ref="B20:F20"/>
    <mergeCell ref="B22:F22"/>
    <mergeCell ref="C52:F52"/>
    <mergeCell ref="B53:B54"/>
    <mergeCell ref="B61:F61"/>
    <mergeCell ref="B62:B63"/>
    <mergeCell ref="B67:B69"/>
    <mergeCell ref="C67:F69"/>
    <mergeCell ref="B36:B37"/>
    <mergeCell ref="B47:F47"/>
    <mergeCell ref="B48:F48"/>
    <mergeCell ref="C49:F49"/>
    <mergeCell ref="C50:F50"/>
    <mergeCell ref="C51:F51"/>
    <mergeCell ref="C76:F76"/>
    <mergeCell ref="B77:B78"/>
    <mergeCell ref="B85:F85"/>
    <mergeCell ref="B86:B87"/>
    <mergeCell ref="B91:B93"/>
    <mergeCell ref="C91:F93"/>
    <mergeCell ref="B70:F70"/>
    <mergeCell ref="B71:F71"/>
    <mergeCell ref="C72:F72"/>
    <mergeCell ref="C73:F73"/>
    <mergeCell ref="C74:F74"/>
    <mergeCell ref="C75:F75"/>
    <mergeCell ref="C101:F101"/>
    <mergeCell ref="B103:B104"/>
    <mergeCell ref="B110:F110"/>
    <mergeCell ref="B111:B112"/>
    <mergeCell ref="B122:F122"/>
    <mergeCell ref="B123:F123"/>
    <mergeCell ref="C94:F94"/>
    <mergeCell ref="B95:F95"/>
    <mergeCell ref="B97:F97"/>
    <mergeCell ref="B98:F98"/>
    <mergeCell ref="C99:F99"/>
    <mergeCell ref="C100:F100"/>
    <mergeCell ref="B137:B138"/>
    <mergeCell ref="B142:B144"/>
    <mergeCell ref="C142:F144"/>
    <mergeCell ref="B145:F145"/>
    <mergeCell ref="B146:F146"/>
    <mergeCell ref="C147:F147"/>
    <mergeCell ref="C124:F124"/>
    <mergeCell ref="C125:F125"/>
    <mergeCell ref="C126:F126"/>
    <mergeCell ref="C127:F127"/>
    <mergeCell ref="B128:B129"/>
    <mergeCell ref="B136:F136"/>
    <mergeCell ref="B161:B162"/>
    <mergeCell ref="B166:B168"/>
    <mergeCell ref="C166:F168"/>
    <mergeCell ref="C169:F169"/>
    <mergeCell ref="B170:F170"/>
    <mergeCell ref="B172:F172"/>
    <mergeCell ref="C148:F148"/>
    <mergeCell ref="C149:F149"/>
    <mergeCell ref="C150:F150"/>
    <mergeCell ref="C151:F151"/>
    <mergeCell ref="B152:B153"/>
    <mergeCell ref="B160:F160"/>
    <mergeCell ref="B186:B187"/>
    <mergeCell ref="B197:F197"/>
    <mergeCell ref="B198:F198"/>
    <mergeCell ref="C199:F199"/>
    <mergeCell ref="C200:F200"/>
    <mergeCell ref="C201:F201"/>
    <mergeCell ref="B173:F173"/>
    <mergeCell ref="C174:F174"/>
    <mergeCell ref="C175:F175"/>
    <mergeCell ref="C176:F176"/>
    <mergeCell ref="B178:B179"/>
    <mergeCell ref="B185:F185"/>
    <mergeCell ref="B220:F220"/>
    <mergeCell ref="B221:F221"/>
    <mergeCell ref="C222:F222"/>
    <mergeCell ref="C223:F223"/>
    <mergeCell ref="C224:F224"/>
    <mergeCell ref="C225:F225"/>
    <mergeCell ref="C202:F202"/>
    <mergeCell ref="B203:B204"/>
    <mergeCell ref="B211:F211"/>
    <mergeCell ref="B212:B213"/>
    <mergeCell ref="B217:B219"/>
    <mergeCell ref="C217:F219"/>
    <mergeCell ref="B244:F244"/>
    <mergeCell ref="B247:F247"/>
    <mergeCell ref="C248:F248"/>
    <mergeCell ref="C249:F249"/>
    <mergeCell ref="C250:F250"/>
    <mergeCell ref="B252:B253"/>
    <mergeCell ref="B226:B227"/>
    <mergeCell ref="B234:F234"/>
    <mergeCell ref="B235:B236"/>
    <mergeCell ref="B240:B242"/>
    <mergeCell ref="C240:F242"/>
    <mergeCell ref="C243:F243"/>
    <mergeCell ref="C275:F275"/>
    <mergeCell ref="C276:F276"/>
    <mergeCell ref="B277:B278"/>
    <mergeCell ref="B285:F285"/>
    <mergeCell ref="B286:B287"/>
    <mergeCell ref="B291:B293"/>
    <mergeCell ref="C291:F293"/>
    <mergeCell ref="B259:F259"/>
    <mergeCell ref="B260:B261"/>
    <mergeCell ref="B271:F271"/>
    <mergeCell ref="B272:F272"/>
    <mergeCell ref="C273:F273"/>
    <mergeCell ref="C274:F274"/>
    <mergeCell ref="B307:B308"/>
    <mergeCell ref="B312:B314"/>
    <mergeCell ref="C312:F314"/>
    <mergeCell ref="B315:F315"/>
    <mergeCell ref="B316:F316"/>
    <mergeCell ref="C317:F317"/>
    <mergeCell ref="C294:F294"/>
    <mergeCell ref="C295:F295"/>
    <mergeCell ref="C296:F296"/>
    <mergeCell ref="C297:F297"/>
    <mergeCell ref="B298:B299"/>
    <mergeCell ref="B306:F306"/>
    <mergeCell ref="B331:B332"/>
    <mergeCell ref="B336:B338"/>
    <mergeCell ref="C336:F338"/>
    <mergeCell ref="B340:B341"/>
    <mergeCell ref="C318:F318"/>
    <mergeCell ref="C319:F319"/>
    <mergeCell ref="C320:F320"/>
    <mergeCell ref="C321:F321"/>
    <mergeCell ref="B322:B323"/>
    <mergeCell ref="B330:F330"/>
  </mergeCells>
  <printOptions horizontalCentered="1" verticalCentered="1"/>
  <pageMargins left="0.2" right="0.2" top="0.56000000000000005" bottom="0.84" header="0.3" footer="0.3"/>
  <pageSetup scale="72" fitToWidth="0" orientation="portrait" r:id="rId1"/>
  <rowBreaks count="8" manualBreakCount="8">
    <brk id="21" min="1" max="5" man="1"/>
    <brk id="60" min="1" max="5" man="1"/>
    <brk id="93" min="1" max="5" man="1"/>
    <brk id="144" min="1" max="5" man="1"/>
    <brk id="184" min="1" max="5" man="1"/>
    <brk id="242" min="1" max="5" man="1"/>
    <brk id="284" min="1" max="5" man="1"/>
    <brk id="338" min="1"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2</vt:i4>
      </vt:variant>
    </vt:vector>
  </HeadingPairs>
  <TitlesOfParts>
    <vt:vector size="42" baseType="lpstr">
      <vt:lpstr>01. Presidenca</vt:lpstr>
      <vt:lpstr>02. Kuvendi</vt:lpstr>
      <vt:lpstr>03 Kryeministria</vt:lpstr>
      <vt:lpstr>18. SHISH</vt:lpstr>
      <vt:lpstr>20. Drejtoria e pergj. arkivave</vt:lpstr>
      <vt:lpstr>22. Akademia e shkences</vt:lpstr>
      <vt:lpstr>24. KLSH</vt:lpstr>
      <vt:lpstr>29. ZABGJ</vt:lpstr>
      <vt:lpstr>30. Gjykata Kushtetuese</vt:lpstr>
      <vt:lpstr>50. Instat</vt:lpstr>
      <vt:lpstr>55. Magjistratura</vt:lpstr>
      <vt:lpstr>57. Qendra e Kinematografise</vt:lpstr>
      <vt:lpstr>63. Komisioneri Publik</vt:lpstr>
      <vt:lpstr>63. KLD</vt:lpstr>
      <vt:lpstr>63. KPK</vt:lpstr>
      <vt:lpstr>63. Komis. rivleresimit apelimi</vt:lpstr>
      <vt:lpstr>66. Avokati i Popullit</vt:lpstr>
      <vt:lpstr>67. KMSHC</vt:lpstr>
      <vt:lpstr>73. KQZ</vt:lpstr>
      <vt:lpstr>76. ILDKP</vt:lpstr>
      <vt:lpstr>77. Autoriteti i Konkurrences</vt:lpstr>
      <vt:lpstr>87. STKKU</vt:lpstr>
      <vt:lpstr>87. Kultet</vt:lpstr>
      <vt:lpstr>87. Inspektorati Qendror</vt:lpstr>
      <vt:lpstr>87. DSIK</vt:lpstr>
      <vt:lpstr>87. DAP</vt:lpstr>
      <vt:lpstr>87. APP</vt:lpstr>
      <vt:lpstr>87. Agjencia e Auditimit</vt:lpstr>
      <vt:lpstr>87. ADISA</vt:lpstr>
      <vt:lpstr>87. ASIG</vt:lpstr>
      <vt:lpstr>87. AZHT</vt:lpstr>
      <vt:lpstr>87. ACESK</vt:lpstr>
      <vt:lpstr>87. ASPA</vt:lpstr>
      <vt:lpstr>87. AZHER</vt:lpstr>
      <vt:lpstr>88. AMSHC</vt:lpstr>
      <vt:lpstr>89. Komis. drejten e informimit</vt:lpstr>
      <vt:lpstr>90. KPP</vt:lpstr>
      <vt:lpstr>91.Koms. mbrojtjen nga diskrimi</vt:lpstr>
      <vt:lpstr>92. ISKK</vt:lpstr>
      <vt:lpstr>95. AIDSSH</vt:lpstr>
      <vt:lpstr>'30. Gjykata Kushtetuese'!Print_Area</vt:lpstr>
      <vt:lpstr>'63. KPK'!Print_Area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Emanuela Xhelita</dc:creator>
  <cp:lastModifiedBy>Ina Dhaskali</cp:lastModifiedBy>
  <dcterms:created xsi:type="dcterms:W3CDTF">2018-06-18T11:23:34Z</dcterms:created>
  <dcterms:modified xsi:type="dcterms:W3CDTF">2018-07-09T09:23:09Z</dcterms:modified>
</cp:coreProperties>
</file>